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aga\Downloads\"/>
    </mc:Choice>
  </mc:AlternateContent>
  <xr:revisionPtr revIDLastSave="0" documentId="8_{371EBD41-2EFD-4915-9F7F-A687A3847D72}" xr6:coauthVersionLast="47" xr6:coauthVersionMax="47" xr10:uidLastSave="{00000000-0000-0000-0000-000000000000}"/>
  <bookViews>
    <workbookView xWindow="-108" yWindow="-108" windowWidth="23256" windowHeight="12576"/>
  </bookViews>
  <sheets>
    <sheet name="FIVC_BIOS_RPL-Hx update + RPL-H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</calcChain>
</file>

<file path=xl/sharedStrings.xml><?xml version="1.0" encoding="utf-8"?>
<sst xmlns="http://schemas.openxmlformats.org/spreadsheetml/2006/main" count="6642" uniqueCount="3341">
  <si>
    <t>jama_id</t>
  </si>
  <si>
    <t>owner</t>
  </si>
  <si>
    <t>component_affected</t>
  </si>
  <si>
    <t>release_affected</t>
  </si>
  <si>
    <t>Validate Type-C USB2.0 Host Mode (Type-C to A) functionality - after S3, device connected when SUT is in S3 state</t>
  </si>
  <si>
    <t>CSS-IVE-50863</t>
  </si>
  <si>
    <t>raghav3x</t>
  </si>
  <si>
    <t>bios.platform,bios.sa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</si>
  <si>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</si>
  <si>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Verify pop-up message on connect/disconnect devices and concurrent support of onboard audio and usb mass storage over Type-C port</t>
  </si>
  <si>
    <t>CSS-IVE-50868</t>
  </si>
  <si>
    <t>bios.alderlake,bios.amberlake,bios.apollolake,bios.arrowlake,bios.cannonlake,bios.coffeelake,bios.geminilake,bios.icelake-client,bios.kabylake,bios.kabylake_r,bios.lunarlake,bios.meteorlake,bios.raptorlake,bios.raptorlake_refresh,bios.rocketlake,bios.tigerlake,bios.whiskeylake</t>
  </si>
  <si>
    <t>Verify the functionality of USB 2.0, 3.0 devices connected to USB Type-A Port along with USB 3.0 device connected to Type-C port</t>
  </si>
  <si>
    <t>CSS-IVE-50870</t>
  </si>
  <si>
    <t>bios.alderlake,bios.amberlake,bios.apollolake,bios.arrowlake,bios.cannonlake,bios.coffeelake,bios.geminilake,bios.icelake-client,bios.jasperlake,bios.kabylake,bios.kabylake_r,bios.lakefield,bios.lunarlake,bios.meteorlake,bios.pantherlake,bios.pantherlake-p,bios.raptorlake,bios.rocketlake,bios.tigerlake,bios.whiskeylake</t>
  </si>
  <si>
    <t>Verify that the CPU details listed in BIOS are present in the OS.</t>
  </si>
  <si>
    <t>CSS-IVE-50876</t>
  </si>
  <si>
    <t>chassanx</t>
  </si>
  <si>
    <t>bios.cpu_pm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</si>
  <si>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</si>
  <si>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Verify Hardware Pre-Fetcher reflection via MISC_FEATURE_CONTROL MSR</t>
  </si>
  <si>
    <t>CSS-IVE-50877</t>
  </si>
  <si>
    <t>reddyv5x</t>
  </si>
  <si>
    <t>bios.alderlake,bios.amberlake,bios.arrowlake,bios.cannonlake,bios.coffeelake,bios.cometlake,bios.icelake-client,bios.kabylake,bios.kabylake_r,bios.lunarlake,bios.meteorlake,bios.raptorlake,bios.rocketlake,bios.tigerlake,bios.whiskeylake</t>
  </si>
  <si>
    <t>Verify "Disable Prochot# Output signal" is enabled by default in Bios.</t>
  </si>
  <si>
    <t>CSS-IVE-50881</t>
  </si>
  <si>
    <t>bios.alderlake,bios.amberlake,bios.arrowlake,bios.cannonlake,bios.coffeelake,bios.cometlake,bios.icelake-client,bios.jasperlake,bios.kabylake,bios.kabylake_r,bios.lakefield,bios.lunarlake,bios.meteorlake,bios.raptorlake,bios.rocketlake,bios.tigerlake,bios.whiskeylake</t>
  </si>
  <si>
    <t>Verify fast boot functionality and BIOS setup options</t>
  </si>
  <si>
    <t>CSS-IVE-50906</t>
  </si>
  <si>
    <t>sumith2x</t>
  </si>
  <si>
    <t>bios.platform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</si>
  <si>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pantherlake-s,bios.raptorlake,bios.rocketlake,bios.tigerlake,bios.whiskeylake</t>
  </si>
  <si>
    <t>Verify RTIT feature is Enabled if CPU is detected</t>
  </si>
  <si>
    <t>CSS-IVE-50911</t>
  </si>
  <si>
    <t>Verify that SUT boots to OS with BIST option Enabled/Disable in BIOS setup and debug prints in logs</t>
  </si>
  <si>
    <t>CSS-IVE-50912</t>
  </si>
  <si>
    <t>bios.alderlake,bios.amberlake,bios.amberlake_7w,bios.arrowlake,bios.cannonlake,bios.coffeelake,bios.cometlake,bios.icelake-client,bios.jasperlake,bios.kabylake,bios.kabylake_r,bios.lunarlake,bios.meteorlake,bios.pantherlake,bios.pantherlake-p,bios.raptorlake,bios.rocketlake,bios.tigerlake,bios.whiskeylake</t>
  </si>
  <si>
    <t>Verify USB 3.0 device functionality over Type-C port after resume from C-MoS when device is plugged in when SUT is in C-MoS</t>
  </si>
  <si>
    <t>CSS-IVE-50918</t>
  </si>
  <si>
    <t>bios.alderlake,bios.amberlake,bios.apollolake,bios.arrowlake,bios.cannonlake,bios.coffeelake,bios.cometlake,bios.geminilake,bios.icelake-client,bios.jasperlake,bios.kabylake,bios.kabylake_r,bios.lakefield,bios.lunarlake,bios.meteorlake,bios.pantherlake-s,bios.raptorlake,bios.raptorlake_refresh,bios.rocketlake,bios.tigerlake,bios.whiskeylake</t>
  </si>
  <si>
    <t>Verify if system boots in Fast Boot mode from Cold Boot with system hardware configuration unchanged</t>
  </si>
  <si>
    <t>CSS-IVE-50972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</si>
  <si>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</t>
  </si>
  <si>
    <t>Verify device manager post sleep cycling with system in AC mode</t>
  </si>
  <si>
    <t>CSS-IVE-50980</t>
  </si>
  <si>
    <t>bios.alderlake,bios.amberlake,bios.arrowlake,bios.cannonlake,bios.cometlake,bios.geminilake,bios.icelake-client,bios.jasperlake,bios.kabylake,bios.kabylake_r,bios.meteorlake,bios.raptorlake,bios.rocketlake,bios.tigerlake,bios.whiskeylake</t>
  </si>
  <si>
    <t>Verify BIOS Setup entry (UEFI Firmware Settings) from Windows</t>
  </si>
  <si>
    <t>CSS-IVE-50982</t>
  </si>
  <si>
    <t>Verify system resumes from S4 with FastBoot mode enabled</t>
  </si>
  <si>
    <t>CSS-IVE-50985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</si>
  <si>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ocketlake,bios.tigerlake,bios.whiskeylake</t>
  </si>
  <si>
    <t>Verify system enumerates PS2/USB keyboard appropriately with fast boot enabled and PS/2 Console selected as input console</t>
  </si>
  <si>
    <t>CSS-IVE-50992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</si>
  <si>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bios.alderlake,bios.amberlake,bios.apollolake,bios.arrowlake,bios.cannonlake,bios.coffeelake,bios.cometlake,bios.geminilake,bios.icelake-client,bios.kabylake,bios.kabylake_r,bios.lunarlake,bios.meteorlake,bios.pantherlake,bios.pantherlake-p,bios.raptorlake,bios.whiskeylake</t>
  </si>
  <si>
    <t>Verify proper screen is displayed when any non-predefined keys/predefined keys is pressed with fastboot enabled.</t>
  </si>
  <si>
    <t>CSS-IVE-51084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</si>
  <si>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whiskeylake</t>
  </si>
  <si>
    <t>Verify Splash screen and USB device enumeration are skipped when system fast boots to OS.</t>
  </si>
  <si>
    <t>CSS-IVE-51143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</si>
  <si>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ocketlake,bios.tigerlake,bios.whiskeylake</t>
  </si>
  <si>
    <t>Verify BIOS options for HD Audio, Soundwire and I2S Configuration</t>
  </si>
  <si>
    <t>CSS-IVE-51162</t>
  </si>
  <si>
    <t>pke</t>
  </si>
  <si>
    <t>bios.pch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</si>
  <si>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-p,bios.pantherlake-s,bios.pantherlake-u,bios.raptorlake,bios.rocketlake,bios.tigerlake,bios.whiskeylake,ifwi.lunarlake</t>
  </si>
  <si>
    <t>Verify availability of USB Devices when USB 2.0/3.0 options are disabled at the USB Configuration page (AIO/DT/HALO)</t>
  </si>
  <si>
    <t>CSS-IVE-51213</t>
  </si>
  <si>
    <t>anaray5x</t>
  </si>
  <si>
    <t>bios.alderlake,bios.arrowlake,bios.cannonlake,bios.coffeelake,bios.icelake-client,bios.jasperlake,bios.kabylake,bios.lunarlake,bios.meteorlake,bios.pantherlake,bios.pantherlake-p,bios.raptorlake,bios.raptorlake_refresh,bios.rocketlake,bios.tigerlake</t>
  </si>
  <si>
    <t>Verification of P2SB device Hiding</t>
  </si>
  <si>
    <t>CSS-IVE-51214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</si>
  <si>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</si>
  <si>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Verify Windows boot options menu can be initiated on restart, overriding Fast Boot settings</t>
  </si>
  <si>
    <t>CSS-IVE-51226</t>
  </si>
  <si>
    <t>bios.alderlake,bios.amberlake,bios.arrowlake,bios.cannonlake,bios.coffeelake,bios.cometlake,bios.icelake-client,bios.kabylake,bios.kabylake_r,bios.lakefield,bios.lunarlake,bios.meteorlake,bios.raptorlake,bios.rocketlake,bios.tigerlake,bios.whiskeylake</t>
  </si>
  <si>
    <t>Verify that Storage OROM, Network OROM, driver displays correct handle in BIOS shell(UEFI), when UEFI Option is selected</t>
  </si>
  <si>
    <t>CSS-IVE-51251</t>
  </si>
  <si>
    <t>bios.alderlake,bios.amberlake,bios.arrowlake,bios.cannonlake,bios.coffeelake,bios.cometlake,bios.icelake-client,bios.kabylake,bios.kabylake_r,bios.lunarlake,bios.meteorlake,bios.pantherlake,bios.pantherlake-p,bios.raptorlake,bios.whiskeylake</t>
  </si>
  <si>
    <t>Verify BIOS options to hide LPSS devices from OS</t>
  </si>
  <si>
    <t>CSS-IVE-51254</t>
  </si>
  <si>
    <t>bios.pch,bios.platform</t>
  </si>
  <si>
    <t>bios.alderlake,bios.amberlake,bios.arrowlake,bios.cannonlake,bios.coffeelake,bios.cometlake,bios.icelake-client,bios.jasperlake,bios.kabylake,bios.kabylake_r,bios.lunarlake,bios.meteorlake,bios.pantherlake,bios.pantherlake-p,bios.pantherlake-u,bios.raptorlake,bios.rocketlake,bios.tigerlake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</si>
  <si>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</si>
  <si>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</si>
  <si>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</si>
  <si>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</si>
  <si>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bios.alderlake,bios.amberlake,bios.arrowlake,bios.cannonlake,bios.cometlake,bios.icelake-client,bios.kabylake,bios.kabylake_r,bios.lunarlake,bios.meteorlake,bios.raptorlake,bios.rocketlake,bios.tigerlake,bios.whiskeylake</t>
  </si>
  <si>
    <t>Verify SUT can boot to EFI Shell and SUT resets on Ctrl+Alt+Del</t>
  </si>
  <si>
    <t>CSS-IVE-52371</t>
  </si>
  <si>
    <t>bios.platform,fw.ifwi.bios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</si>
  <si>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</si>
  <si>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Verify BIOS ID follows the standard format</t>
  </si>
  <si>
    <t>CSS-IVE-52374</t>
  </si>
  <si>
    <t>bios.alderlake,bios.amber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</si>
  <si>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</si>
  <si>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</si>
  <si>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</si>
  <si>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</si>
  <si>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akakix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</si>
  <si>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</si>
  <si>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that Intel test menu option is enabled by updating Test Menu enabled BIOS</t>
  </si>
  <si>
    <t>CSS-IVE-52381</t>
  </si>
  <si>
    <t>bios.alderlake,bios.amberlake,bios.arrowlake,bios.cannonlake,bios.coffeelake,bios.cometlake,bios.icelake-client,bios.kabylake,bios.kabylake_r,bios.lakefield,bios.lunarlake,bios.raptorlake,bios.raptorlake_refresh,bios.rocketlake,bios.tigerlake,bios.whiskeylake</t>
  </si>
  <si>
    <t>Validate if BIOS settings are getting saved or rolled back as per user selection</t>
  </si>
  <si>
    <t>CSS-IVE-52383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</si>
  <si>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tigerlake,bios.whiskeylake</t>
  </si>
  <si>
    <t>Verify working WinRE image must be present on all Win10 Client Systems</t>
  </si>
  <si>
    <t>CSS-IVE-52385</t>
  </si>
  <si>
    <t>bios.alderlake,bios.amberlake,bios.apollolake,bios.arrowlake,bios.broxton,bios.cannonlake,bios.coffeelake,bios.cometlake,bios.geminilake,bios.icelake-client,bios.jasperlake,bios.kabylake,bios.lakefield,bios.lunarlake,bios.meteorlake,bios.pantherlake,bios.pantherlake-p,bios.raptorlake,bios.raptorlake_refresh,bios.rocketlake,bios.tigerlake,bios.whiskeylake</t>
  </si>
  <si>
    <t>Verify that NR/EXT  build of the BIOS does not support enabling Testmenu</t>
  </si>
  <si>
    <t>CSS-IVE-52387</t>
  </si>
  <si>
    <t>bios.alderlake,bios.amberlake,bios.arrowlake,bios.cannonlake,bios.coffeelake,bios.cometlake,bios.icelake-client,bios.kabylake,bios.kabylake_r,bios.lakefield,bios.lunarlake,bios.meteorlake,bios.raptorlake,bios.raptorlake_refresh,bios.rocketlake,bios.tigerlake,bios.whiskeylake</t>
  </si>
  <si>
    <t>Verify yellow bang checks on waking system from S5 for in both AC and DC mode</t>
  </si>
  <si>
    <t>CSS-IVE-52481</t>
  </si>
  <si>
    <t>bios.platform,fw.ifwi.pmc</t>
  </si>
  <si>
    <t>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skylake,bios.tigerlake,bios.whiskeylake,ifwi.amberlake,ifwi.apollolake,ifwi.arrowlake,ifwi.broxton,ifwi.cannonlake,ifwi.coffeelake,ifwi.cometlake,ifwi.geminilake,ifwi.icelake,ifwi.jasperlake,ifwi.kabylake,ifwi.kabylake_r,ifwi.lakefield,ifwi.lunarlake,ifwi.meteorlake,ifwi.raptorlake,ifwi.raptorlake_refresh,ifwi.skylake,ifwi.tigerlake,ifwi.tigerlake_refresh,ifwi.whiskeylake</t>
  </si>
  <si>
    <t>Verify AC to DC  transition occurs with Virtual battery switch.</t>
  </si>
  <si>
    <t>CSS-IVE-52488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</si>
  <si>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</si>
  <si>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Verify Sx functionality post generating BSOD</t>
  </si>
  <si>
    <t>CSS-IVE-52489</t>
  </si>
  <si>
    <t>bios.alderlake,bios.amberlake,bios.apollolake,bios.arrowlake,bios.broxton,bios.cannonlake,bios.cometlake,bios.geminilake,bios.icelake-client,bios.jasperlake,bios.kabylake,bios.kabylake_r,bios.lunarlake,bios.meteorlake,bios.raptorlake,bios.rocketlake,bios.tigerlake,bios.whiskeylake</t>
  </si>
  <si>
    <t>Verify touch panel connected through I2C bus are detected and functional in OS.</t>
  </si>
  <si>
    <t>CSS-IVE-52494</t>
  </si>
  <si>
    <t>bios.alderlake,bios.amberlake,bios.apollolake,bios.arrowlake,bios.broxton,bios.cannonlake,bios.coffeelake,bios.geminilake,bios.kabylake,bios.kabylake_r,bios.lunarlake,bios.meteorlake,bios.raptorlake,bios.raptorlake_refresh,bios.tigerlake</t>
  </si>
  <si>
    <t>Verify that the changes made in BIOS settings can be retained without the coin battery support</t>
  </si>
  <si>
    <t>CSS-IVE-52495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</si>
  <si>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</si>
  <si>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Subsystem IDs programmed by BIOS for all the native devices using self test tool</t>
  </si>
  <si>
    <t>CSS-IVE-52541</t>
  </si>
  <si>
    <t>bios.alderlake,bios.amberlake,bios.amberlake_7w,bios.apollolake,bios.arrowlake,bios.broxton,bios.cannonlake,bios.coffeelake,bios.cometlake,bios.geminilake,bios.icelake-client,bios.jasperlake,bios.kabylake,bios.kabylake_r,bios.lakefield,bios.lunarlake,bios.meteorlake,bios.pantherlake,bios.pantherlake-p,bios.raptorlake,bios.rocketlake,bios.tigerlake,bios.whiskeylake</t>
  </si>
  <si>
    <t>Verifying Brightness levels for eDP,HDMI,DP displays in Triclone mode</t>
  </si>
  <si>
    <t>CSS-IVE-52736</t>
  </si>
  <si>
    <t>bios.alderlake,bios.amberlake,bios.apollolake,bios.arrowlake,bios.broxton,bios.cannonlake,bios.coffeelake,bios.cometlake,bios.geminilake,bios.icelake-client,bios.kabylake,bios.kabylake_r,bios.lunarlake,bios.meteorlake,bios.raptorlake,bios.rocketlake,bios.tigerlake,bios.whiskeylake</t>
  </si>
  <si>
    <t>Verify wakeup event using Touch sensor is successful for multiple iterations(Touch Pad)</t>
  </si>
  <si>
    <t>CSS-IVE-52738</t>
  </si>
  <si>
    <t>bios.alderlake,bios.arrowlake,bios.meteorlake,bios.raptorlake,bios.tigerlake,ifwi.apollolake,ifwi.geminilake</t>
  </si>
  <si>
    <t>Verify the functionality of devices after 10 S3/S0i3 and S4 Cycle in AC and DC</t>
  </si>
  <si>
    <t>CSS-IVE-52841</t>
  </si>
  <si>
    <t>bios.alderlake,bios.amberlake,bios.apollolake,bios.arrowlake,bios.broxton,bios.cannonlake,bios.geminilake,bios.icelake-client,bios.kabylake,bios.kabylake_r,bios.lunarlake,bios.meteorlake,bios.raptorlake,bios.raptorlake_refresh,bios.rocketlake,bios.tigerlake,bios.whiskeylake</t>
  </si>
  <si>
    <t>Verify Discrete Bluetooth module functionality after S3 and S4 wake</t>
  </si>
  <si>
    <t>CSS-IVE-53877</t>
  </si>
  <si>
    <t>pvenka5x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</si>
  <si>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</t>
  </si>
  <si>
    <t>Verify video playback post sleep cycling</t>
  </si>
  <si>
    <t>CSS-IVE-53879</t>
  </si>
  <si>
    <t>bios.alderlake,bios.amberlake,bios.apollolake,bios.arrowlake,bios.broxton,bios.cannonlake,bios.cometlake,bios.geminilake,bios.icelake-client,bios.jasperlake,bios.kabylake,bios.kabylake_r,bios.meteorlake,bios.raptorlake,bios.raptorlake_refresh,bios.rocketlake,bios.tigerlake,bios.whiskeylake</t>
  </si>
  <si>
    <t>Verify audio playback post Sleep cycling in AC mode</t>
  </si>
  <si>
    <t>CSS-IVE-53890</t>
  </si>
  <si>
    <t>bios.alderlake,bios.amberlake,bios.apollolake,bios.arrowlake,bios.broxton,bios.cannonlake,bios.coffeelake,bios.cometlake,bios.geminilake,bios.icelake-client,bios.jasperlake,bios.kabylake,bios.kabylake_r,bios.meteorlake,bios.raptorlake,bios.rocketlake,bios.tigerlake,bios.whiskeylake</t>
  </si>
  <si>
    <t>Verify DMIC Array works with Intel Wake on Voice enabled in BIOS</t>
  </si>
  <si>
    <t>CSS-IVE-53969</t>
  </si>
  <si>
    <t>bios.alderlake,bios.amberlake,bios.apollolake,bios.arrowlake,bios.broxton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</si>
  <si>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Verify Analog Microphone functionality when Audio DSP enabled/disabled in BIOS</t>
  </si>
  <si>
    <t>CSS-IVE-53971</t>
  </si>
  <si>
    <t>Verify Dual OS Boot functionality</t>
  </si>
  <si>
    <t>CSS-IVE-53973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</si>
  <si>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</t>
  </si>
  <si>
    <t>Verify Windows OS presents the Boot repair options on 2 consecutive boot failures</t>
  </si>
  <si>
    <t>CSS-IVE-54042</t>
  </si>
  <si>
    <t>bios.alderlake,bios.amberlake,bios.apollolake,bios.arrowlake,bios.broxton,bios.cannonlake,bios.coffeelake,bios.cometlake,bios.geminilake,bios.icelake-client,bios.kabylake,bios.kabylake_r,bios.lakefield,bios.raptorlake,bios.raptorlake_refresh,bios.rocketlake,bios.tigerlake,bios.whiskeylake</t>
  </si>
  <si>
    <t>Verifying XHCI Debug Port exposed via ACPI DBGP Table</t>
  </si>
  <si>
    <t>CSS-IVE-54043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</si>
  <si>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</t>
  </si>
  <si>
    <t>Verifying ACPI device enumeration for non PCIe devices</t>
  </si>
  <si>
    <t>CSS-IVE-54046</t>
  </si>
  <si>
    <t>bios.alderlake,bios.apollolake,bios.arrowlake,bios.broxton,bios.cannonlake,bios.cometlake,bios.geminilake,bios.icelake-client,bios.kabylake,bios.lunarlake,bios.meteorlake,bios.pantherlake-p,bios.pantherlake-u,bios.raptorlake,bios.raptorlake_refresh,bios.rocketlake,bios.tigerlake</t>
  </si>
  <si>
    <t>Verifying functionality of GPIO Pins/INT with Volume Up/Volume Down/Home/ Wireless ON/OFF buttons</t>
  </si>
  <si>
    <t>CSS-IVE-54056</t>
  </si>
  <si>
    <t>bios.alderlake,bios.apollolake,bios.arrowlake,bios.broxton,bios.geminilake,bios.icelake-client,bios.jasperlake,bios.lakefield,bios.lunarlake,bios.meteorlake,bios.pantherlake-p,bios.pantherlake-s,bios.pantherlake-u,bios.raptorlake,bios.raptorlake_refresh,bios.tigerlake</t>
  </si>
  <si>
    <t>Verify PAVPC Register programming</t>
  </si>
  <si>
    <t>CSS-IVE-54075</t>
  </si>
  <si>
    <t>bios.sa</t>
  </si>
  <si>
    <t>bios.alderlake,bios.apollolake,bios.broxton,bios.geminilake,bios.raptorlake,bios.raptorlake_refresh,bios.rocketlake</t>
  </si>
  <si>
    <t>Verify whether the operation of Windows in safe mode is supported</t>
  </si>
  <si>
    <t>CSS-IVE-54155</t>
  </si>
  <si>
    <t>bios.alderlake,bios.amberlake,bios.apollolake,bios.arrowlake,bios.broxton,bios.cannonlake,bios.coffeelake,bios.cometlake,bios.icelake-client,bios.kabylake,bios.kabylake_r,bios.lakefield,bios.lunarlake,bios.meteorlake,bios.raptorlake,bios.raptorlake_refresh,bios.rocketlake,bios.tigerlake,bios.whiskeylake</t>
  </si>
  <si>
    <t>Verify the correct MRC version is displayed in the BIOS setup menu.</t>
  </si>
  <si>
    <t>CSS-IVE-54164</t>
  </si>
  <si>
    <t>bios.mrc_client</t>
  </si>
  <si>
    <t>bios.alderlake,bios.amberlake,bios.amberlake_7w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skylake,bios.tigerlake,bios.whiskeylake</t>
  </si>
  <si>
    <t>Verify that MRC training is not repeated after the fast boot and force repeated post cold boot.</t>
  </si>
  <si>
    <t>CSS-IVE-54174</t>
  </si>
  <si>
    <t>bios.alderlake,bios.amberlake,bios.amberlake_7w,bios.arrowlake,bios.cannonlake,bios.coffeelake,bios.cometlake,bios.icelake-client,bios.jasperlake,bios.kabylake,bios.kabylake_r,bios.lakefield,bios.lunarlake,bios.meteorlake,bios.pantherlake,bios.pantherlake-p,bios.raptorlake,bios.raptorlake_refresh,bios.rocketlake,bios.skylake,bios.tigerlake,bios.whiskeylake</t>
  </si>
  <si>
    <t>Verify that the BIOS MRC has an option to set "Memory Frequency".</t>
  </si>
  <si>
    <t>CSS-IVE-54190</t>
  </si>
  <si>
    <t>bios.alderlake,bios.amberlake,bios.amberlake_7w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</t>
  </si>
  <si>
    <t>Verify default value of PL3 is reported Via MSR 615h</t>
  </si>
  <si>
    <t>CSS-IVE-54204</t>
  </si>
  <si>
    <t>bios.alderlake,bios.amberlake,bios.arrowlake,bios.cannonlake,bios.cometlake,bios.icelake-client,bios.jasperlake,bios.kabylake,bios.kabylake_r,bios.lunarlake,bios.meteorlake,bios.raptorlake,bios.tigerlake</t>
  </si>
  <si>
    <t>Verify Platform PL1 and PL2 status reflection as part of MSR_PLATFORM_POWER_LIMIT MSR</t>
  </si>
  <si>
    <t>CSS-IVE-54205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</si>
  <si>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skylake,bios.tigerlake,bios.whiskeylake,ifwi.alderlake,ifwi.amberlake,ifwi.coffeelake,ifwi.cometlake,ifwi.icelake,ifwi.kabylake,ifwi.kabylake_r,ifwi.rocketlake,ifwi.skylake</t>
  </si>
  <si>
    <t>Verify Power limit 3 override via PL3_CONTROL MSR</t>
  </si>
  <si>
    <t>CSS-IVE-54206</t>
  </si>
  <si>
    <t>bios.alderlake,bios.amberlake,bios.arrowlake,bios.cannonlake,bios.cometlake,bios.icelake-client,bios.jasperlake,bios.kabylake,bios.kabylake_r,bios.lunarlake,bios.meteorlake,bios.raptorlake,bios.rocketlake,bios.tigerlake,bios.whiskeylake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</si>
  <si>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</si>
  <si>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</si>
  <si>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</si>
  <si>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</si>
  <si>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bios.alderlake,bios.amberlake,bios.arrowlake,bios.broxton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</t>
  </si>
  <si>
    <t>Verify system stability post Warm and Cold reset cycles from EFI shell</t>
  </si>
  <si>
    <t>CSS-IVE-54317</t>
  </si>
  <si>
    <t>fw.ifwi.pmc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</si>
  <si>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broxton,ifwi.cannonlake,ifwi.coffeelake,ifwi.cometlake,ifwi.geminilake,ifwi.icelake,ifwi.jasperlake,ifwi.kabylake,ifwi.kabylake_r,ifwi.lakefield,ifwi.lunarlake,ifwi.meteorlake,ifwi.raptorlake,ifwi.raptorlake_refresh,ifwi.tigerlake,ifwi.whiskeylake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</si>
  <si>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</si>
  <si>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</si>
  <si>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</si>
  <si>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</si>
  <si>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bios.alderlake,bios.amberlake,bios.apollolake,bios.arrowlake,bios.cannonlake,bios.geminilake,bios.icelake-client,bios.jasperlake,bios.kabylake,bios.kabylake_r,bios.lakefield,bios.lunarlake,bios.meteorlake,bios.raptorlake,bios.rocketlake,bios.tigerlake</t>
  </si>
  <si>
    <t>Validate Type-C USB3.0 Host Mode (Type-C to A) functionality - hot plug device before and in Sx state</t>
  </si>
  <si>
    <t>CSS-IVE-61674</t>
  </si>
  <si>
    <t>bios.platform,bios.sa,fw.ifwi.MGPhy,fw.ifwi.dekelPhy,fw.ifwi.iom,fw.ifwi.nphy,fw.ifwi.pmc,fw.ifwi.sam,fw.ifwi.sphy,fw.ifwi.tbt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</si>
  <si>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arrowlake,ifwi.cannonlake,ifwi.coffeelake,ifwi.cometlake,ifwi.geminilake,ifwi.icelake,ifwi.kabylake,ifwi.kabylake_r,ifwi.lakefield,ifwi.lunarlake,ifwi.meteorlake,ifwi.raptorlake,ifwi.raptorlake_refresh,ifwi.tigerlake,ifwi.whiskeylake</t>
  </si>
  <si>
    <t>Validate Type-C USB3.0 Host Mode (Type-C to A) functionality - after S5 and G3 Cycles</t>
  </si>
  <si>
    <t>CSS-IVE-61675</t>
  </si>
  <si>
    <t>bios.alderlake,bios.amberlake,bios.apollolake,bios.arrowlake,bios.cannonlake,bios.geminilake,bios.icelake-client,bios.jasperlake,bios.kabylake,bios.kabylake_r,bios.lakefield,bios.lunarlake,bios.meteorlake,bios.raptorlake,bios.raptorlake_refresh,bios.rocketlake,bios.tigerlake</t>
  </si>
  <si>
    <t>Validate Type-C USB3.0 Host Mode (Type-C to A) functionality - after CS, S4, S5, G3 Cycles</t>
  </si>
  <si>
    <t>CSS-IVE-61676</t>
  </si>
  <si>
    <t>bios.alderlake,bios.amberlake,bios.apollolake,bios.arrowlake,bios.cannonlake,bios.geminilake,bios.icelake-client,bios.jasperlake,bios.kabylake,bios.kabylake_r,bios.lakefield,bios.lunarlake,bios.meteorlake,bios.pantherlake,bios.pantherlake-p,bios.raptorlake,bios.raptorlake_refresh,bios.rocketlake,bios.tigerlake</t>
  </si>
  <si>
    <t>Verify DP-display and Keyboard functionality over USB Type-C port before and after S4,S5 and G3 state</t>
  </si>
  <si>
    <t>CSS-IVE-61679</t>
  </si>
  <si>
    <t>bios.alderlake,bios.arrowlake,bios.cannonlake,bios.coffeelake,bios.geminilake,bios.icelake-client,bios.jasperlake,bios.kabylake_r,bios.lakefield,bios.lunarlake,bios.meteorlake,bios.pantherlake,bios.pantherlake-p,bios.raptorlake,bios.raptorlake_refresh,bios.rocketlake,bios.tigerlake,bios.whiskeylake</t>
  </si>
  <si>
    <t>Verify concurrent use of USB device functionality over USB Type A and Type-C Port</t>
  </si>
  <si>
    <t>CSS-IVE-61680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</si>
  <si>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</t>
  </si>
  <si>
    <t>Verify SUT can power up with power button after shut down from OS (S0-S5-S0 transition)</t>
  </si>
  <si>
    <t>CSS-IVE-61819</t>
  </si>
  <si>
    <t>bios.pch,fw.ifwi.bios,fw.ifwi.ec,fw.ifwi.pchc</t>
  </si>
  <si>
    <t>bios.alderlake,bios.amberlake,bios.apollolake,bios.arrowlake,bios.cannonlake,bios.coffeelake,bios.cometlake,bios.elkhartlake,bios.geminilake,bios.icelake-client,bios.jasperlake,bios.kabylake,bios.kabylake_r,bios.lakefield,bios.lunarlake,bios.meteorlake,bios.raptorlake,bios.raptorlake_refresh,bios.tigerlake,bios.whiskeylake,ifwi.amberlake,ifwi.apollolake,ifwi.arrowlake,ifwi.cannonlake,ifwi.coffeelake,ifwi.cometlake,ifwi.elkhartlake,ifwi.geminilake,ifwi.icelake,ifwi.kabylake,ifwi.kabylake_r,ifwi.lakefield,ifwi.lunarlake,ifwi.meteorlake,ifwi.raptorlake,ifwi.raptorlake_refresh,ifwi.tigerlake,ifwi.whiskeylake</t>
  </si>
  <si>
    <t>Verify BIOS shall provide an option to set TTL (Time To Live) for Dynamic DNS Update under MEBx menu</t>
  </si>
  <si>
    <t>CSS-IVE-145511</t>
  </si>
  <si>
    <t>bios.me</t>
  </si>
  <si>
    <t>bios.alderlake,bios.pantherlake,bios.pantherlake-p,bios.raptorlake</t>
  </si>
  <si>
    <t>Verify BIOS shall provide an option to set Periodic Update Interval for Dynamic DNS Update under MEBx menu</t>
  </si>
  <si>
    <t>CSS-IVE-145508</t>
  </si>
  <si>
    <t>bios.alderlake,bios.raptorlake</t>
  </si>
  <si>
    <t>Verify BIOS shall provide an option to set PKI DNS Suffix under MEBx menu</t>
  </si>
  <si>
    <t>CSS-IVE-145629</t>
  </si>
  <si>
    <t>bios.alderlake,bios.arrowlake,bios.lunarlake,bios.meteorlake,bios.raptorlake</t>
  </si>
  <si>
    <t>Verify Dynamic DNS Update enable/disable with Shared/Dedicated FQDN mode under MEBx menu in BIOS</t>
  </si>
  <si>
    <t>CSS-IVE-145631</t>
  </si>
  <si>
    <t>Verify Idle Timeout value can be set under MEBx menu in BIOS</t>
  </si>
  <si>
    <t>CSS-IVE-145644</t>
  </si>
  <si>
    <t>Verify if user can edit Network Name under MEBx menu in BIOS</t>
  </si>
  <si>
    <t>CSS-IVE-145645</t>
  </si>
  <si>
    <t>bios.me,fw.ifwi.csme</t>
  </si>
  <si>
    <t>bios.alderlake,bios.arrowlake,bios.lunarlake,bios.meteorlake,bios.raptorlake,ifwi.arrowlake,ifwi.lunarlake,ifwi.meteorlake,ifwi.raptorlake</t>
  </si>
  <si>
    <t>Verify BIOS shall display an option to Enable or Disable Remote Configuration under MEBx menu</t>
  </si>
  <si>
    <t>CSS-IVE-145635</t>
  </si>
  <si>
    <t>Verify "Opt-in Configurable from Remote IT" option can be successfully enabled/disabled in BIOS under MEBx menu</t>
  </si>
  <si>
    <t>CSS-IVE-145650</t>
  </si>
  <si>
    <t>Verify that the Active Management Technology (AMT) reflects correct state of Enabled or Disabled depending upon MEBX in BIOS</t>
  </si>
  <si>
    <t>CSS-IVE-145659</t>
  </si>
  <si>
    <t>bios.alderlake,bios.arrowlake,bios.lunarlake,bios.meteorlake,bios.raptorlake,ifwi.raptorlake</t>
  </si>
  <si>
    <t>Verify Storage Redirection session cannot be established through Wired LAN With Storage Redirection disabled under MEBX in BIOS</t>
  </si>
  <si>
    <t>CSS-IVE-145827</t>
  </si>
  <si>
    <t>Verify that MEBx shall suppress IP configuration menu when LAN-less platform is detected Under BIOS</t>
  </si>
  <si>
    <t>CSS-IVE-145831</t>
  </si>
  <si>
    <t>bios.alderlake,bios.arrowlake,bios.lunarlake,bios.meteorlake,bios.pantherlake,bios.pantherlake-p,bios.raptorlake</t>
  </si>
  <si>
    <t>Verify if SUT reboots after user enters incorrect MEBx password under BIOS for 3 consecutive tries</t>
  </si>
  <si>
    <t>CSS-IVE-145643</t>
  </si>
  <si>
    <t>Verify Storage Redirection session cannot be established through Wireless LAN With Storage Redirection disabled under MEBX in BIOS</t>
  </si>
  <si>
    <t>CSS-IVE-145828</t>
  </si>
  <si>
    <t>[Vpro] BKM for AMT Configuration (MEBx) in BIOS</t>
  </si>
  <si>
    <t>CSS-IVE-145871</t>
  </si>
  <si>
    <t>Verify the MEBx features with Non-vPRO sku under MEBX in BIOS</t>
  </si>
  <si>
    <t>CSS-IVE-145829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</si>
  <si>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</si>
  <si>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</si>
  <si>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</si>
  <si>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</si>
  <si>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Provisioning AMT over TBT-VPRO DOCK from BIOS setup options using static IP and check for KVM connectivity</t>
  </si>
  <si>
    <t>CSS-IVE-145876</t>
  </si>
  <si>
    <t>bios.alderlake,bios.arrowlake,bios.lunarlake,bios.meteorlake,bios.raptorlake,bios.raptorlake_refresh,ifwi.arrowlake,ifwi.meteorlake</t>
  </si>
  <si>
    <t>Verify _DSD method for D3 with NVMe connected to M.2 PCH slot  in AHCI mode</t>
  </si>
  <si>
    <t>CSS-IVE-145802</t>
  </si>
  <si>
    <t>bios.alderlake,bios.arrowlake,bios.lunarlake,bios.meteorlake,bios.raptorlake,bios.rocketlake</t>
  </si>
  <si>
    <t>Verify _DSD method for D3 with NVMe connected to M.2 CPU slot  in AHCI mode</t>
  </si>
  <si>
    <t>CSS-IVE-145820</t>
  </si>
  <si>
    <t>Verify storage detection over PEG 10 and PEG 11 slots (X8 Slot)</t>
  </si>
  <si>
    <t>CSS-IVE-147120</t>
  </si>
  <si>
    <t>Verify SLP_S0 &amp; Package C states with SATA HDD connected</t>
  </si>
  <si>
    <t>CSS-IVE-147212</t>
  </si>
  <si>
    <t>bios.alderlake,bios.raptorlake,bios.rocketlake</t>
  </si>
  <si>
    <t>Verify Socket Information in SMBIOS Type4 Table</t>
  </si>
  <si>
    <t>CSS-IVE-147224</t>
  </si>
  <si>
    <t>bios.alderlake,bios.raptorlake,bios.raptorlake_refresh</t>
  </si>
  <si>
    <t>Verify BIOS setting change for CPU DMI UNRD</t>
  </si>
  <si>
    <t>CSS-IVE-147234</t>
  </si>
  <si>
    <t>Verify BIOS supports Virtual SPI over USB Device</t>
  </si>
  <si>
    <t>CSS-IVE-147236</t>
  </si>
  <si>
    <t>Verify Telemetry MMCFG space is enabled by default in Bios setup</t>
  </si>
  <si>
    <t>CSS-IVE-133917</t>
  </si>
  <si>
    <t>bios.alderlake,bios.arrowlake,bios.lunarlake,bios.meteorlake,bios.raptorlake,bios.raptorlake_refresh,bios.tigerlake</t>
  </si>
  <si>
    <t>Verify PMC send IPC command to collect Crash Log on every reset</t>
  </si>
  <si>
    <t>CSS-IVE-133794</t>
  </si>
  <si>
    <t>bios.alderlake,bios.arrowlake,bios.jasperlake,bios.lunarlake,bios.meteorlake,bios.pantherlake,bios.pantherlake-h,bios.pantherlake-p,bios.pantherlake-s,bios.pantherlake-u,bios.raptorlake,bios.raptorlake_refresh,bios.rocketlake,bios.tigerlake</t>
  </si>
  <si>
    <t>Verify ACPI CPPC objects from SSDT and DSDT</t>
  </si>
  <si>
    <t>CSS-IVE-50726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</si>
  <si>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</si>
  <si>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</si>
  <si>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</si>
  <si>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</si>
  <si>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</si>
  <si>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</si>
  <si>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</si>
  <si>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skylake,bios.tigerlake,bios.whiskeylake,ifwi.alderlake,ifwi.cometlake,ifwi.icelake,ifwi.jasperlake,ifwi.kabylake,ifwi.rocketlake,ifwi.skylake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</si>
  <si>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</si>
  <si>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</si>
  <si>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</si>
  <si>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</si>
  <si>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bios.alderlake,bios.amberlake,bios.arrowlake,bios.cannonlake,bios.coffeelake,bios.cometlake,bios.icelake-client,bios.jasperlake,bios.kabylake,bios.kabylake_r,bios.lunarlake,bios.meteorlake,bios.raptorlake,bios.rocketlake,bios.tigerlake,bios.whiskeylake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</si>
  <si>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</si>
  <si>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</si>
  <si>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</si>
  <si>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</si>
  <si>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</si>
  <si>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</si>
  <si>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</si>
  <si>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</si>
  <si>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bios.alderlake,bios.amberlake,bios.arrowlake,bios.basinfalls,bios.cannonlake,bios.coffeelake,bios.cometlake,bios.glacierfalls,bios.icelake-client,bios.jasperlake,bios.kabylake,bios.kabylake_r,bios.lakefield,bios.lunarlake,bios.meteorlake,bios.raptorlake,bios.raptorlake_refresh,bios.rocketlake,bios.skylake,bios.tigerlake,bios.whiskeylake,ifwi.alderlake,ifwi.amberlake,ifwi.basinfalls,ifwi.coffeelake,ifwi.cometlake,ifwi.glacierfalls,ifwi.icelake,ifwi.jasperlake,ifwi.kabylake,ifwi.kabylake_r,ifwi.rocketlake,ifwi.skylake</t>
  </si>
  <si>
    <t>Verify Critical/Active/Passive trip point with DTS SMM enabled and DPTF Enabled in BIOS after S3</t>
  </si>
  <si>
    <t>CSS-IVE-118607</t>
  </si>
  <si>
    <t>bios.alderlake,bios.amberlake,bios.apollolake,bios.arrowlake,bios.cannonlake,bios.coffeelake,bios.cometlake,bios.geminilake,bios.icelake-client,bios.jasperlake,bios.kabylake,bios.kabylake_r,bios.lakefield,bios.meteorlake,bios.pantherlake,bios.pantherlake-p,bios.raptorlake,bios.raptorlake_refresh,bios.rocketlake,bios.tigerlake,bios.whiskeylake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</si>
  <si>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</si>
  <si>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</si>
  <si>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</si>
  <si>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</si>
  <si>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"Power Limit 2" BIOS options</t>
  </si>
  <si>
    <t>CSS-IVE-64117</t>
  </si>
  <si>
    <t>bios.alderlake,bios.amberlake,bios.arrowlake,bios.cannonlake,bios.cometlake,bios.icelake-client,bios.jasperlake,bios.kabylake,bios.kabylake_r,bios.lakefield,bios.lunarlake,bios.meteorlake,bios.pantherlake,bios.pantherlake-p,bios.raptorlake,bios.rocketlake,bios.tigerlake,bios.whiskeylake</t>
  </si>
  <si>
    <t>Verify CPU Turbo feature via IA32_MISC_ENABLE MSR</t>
  </si>
  <si>
    <t>CSS-IVE-44264</t>
  </si>
  <si>
    <t>bios.alderlake,bios.amberlake,bios.apollolake,bios.arrowlake,bios.broxton,bios.cannonlake,bios.cometlake,bios.geminilake,bios.icelake-client,bios.kabylake,bios.kabylake_r,bios.kabylake_x,bios.lunarlake,bios.meteorlake,bios.raptorlake,bios.rocketlake,bios.skylake_w,bios.skylake_x,bios.tigerlake,bios.whiskeylake</t>
  </si>
  <si>
    <t>Validate Intel Speed Step functionality</t>
  </si>
  <si>
    <t>CSS-IVE-44268</t>
  </si>
  <si>
    <t>bios.alderlake,bios.amberlake,bios.apollolake,bios.arrowlake,bios.broxton,bios.cannonlake,bios.cometlake,bios.geminilake,bios.icelake-client,bios.kabylake,bios.kabylake_r,bios.lunarlake,bios.meteorlake,bios.raptorlake,bios.rocketlake,bios.tigerlake,bios.whiskeylake</t>
  </si>
  <si>
    <t>Verify "Boot Performance Mode" bios options and CPU frequency reflects according to the option in BIOS</t>
  </si>
  <si>
    <t>CSS-IVE-44273</t>
  </si>
  <si>
    <t>bios.alderlake,bios.amberlake,bios.apollolake,bios.arrowlake,bios.broxton,bios.cannonlake,bios.geminilake,bios.icelake-client,bios.kabylake,bios.kabylake_r,bios.lakefield,bios.lunarlake,bios.meteorlake,bios.raptorlake,bios.raptorlake_refresh,bios.tigerlake</t>
  </si>
  <si>
    <t>Validate Processor Brand String under Bios Page and OS</t>
  </si>
  <si>
    <t>CSS-IVE-44278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</si>
  <si>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skylake_x,bios.tigerlake,bios.whiskeylake</t>
  </si>
  <si>
    <t>Validate Processor Frequency Under Bios page and OS (Turbo Mode Enable)</t>
  </si>
  <si>
    <t>CSS-IVE-44281</t>
  </si>
  <si>
    <t>bios.alderlake,bios.amberlake,bios.apollolake,bios.arrowlake,bios.broxton,bios.cannonlake,bios.coffeelake,bios.cometlake,bios.geminilake,bios.icelake-client,bios.jasperlake,bios.kabylake,bios.kabylake_r,bios.kabylake_x,bios.lakefield,bios.lunarlake,bios.meteorlake,bios.raptorlake,bios.raptorlake_refresh,bios.rocketlake,bios.tigerlake,bios.whiskeylake</t>
  </si>
  <si>
    <t>Verify package C-states support with system in AC mode</t>
  </si>
  <si>
    <t>CSS-IVE-44355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</si>
  <si>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ocketlake,bios.tigerlake,bios.whiskeylake,ifwi.arrowlake,ifwi.meteorlake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</si>
  <si>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</si>
  <si>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</si>
  <si>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</si>
  <si>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</si>
  <si>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</si>
  <si>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</si>
  <si>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</si>
  <si>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</si>
  <si>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</si>
  <si>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CSS-IVE-65805</t>
  </si>
  <si>
    <t>bios.alderlake,bios.amberlake,bios.arrowlake,bios.broxton,bios.cannonlake,bios.icelake-client,bios.kabylake,bios.kabylake_r,bios.lunarlake,bios.meteorlake,bios.pantherlake,bios.pantherlake-p,bios.raptorlake,bios.raptorlake_refresh,bios.rocketlake,bios.tigerlake</t>
  </si>
  <si>
    <t>Verify the Intel(R) Speed Shift Technology performance via IA32_HWP_REQUEST MSR</t>
  </si>
  <si>
    <t>CSS-IVE-50830</t>
  </si>
  <si>
    <t>bios.alderlake,bios.amberlake,bios.arrowlake,bios.cannonlake,bios.cometlake,bios.icelake-client,bios.kabylake,bios.kabylake_r,bios.lakefield,bios.lunarlake,bios.meteorlake,bios.raptorlake,bios.rocketlake,bios.tigerlake,bios.whiskeylake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</si>
  <si>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</si>
  <si>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</si>
  <si>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</si>
  <si>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</si>
  <si>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that BIOS has an option to configure C-State "Auto Demotion" and C-State "Un-demotion".</t>
  </si>
  <si>
    <t>CSS-IVE-50721</t>
  </si>
  <si>
    <t>bios.alderlake,bios.amberlake,bios.arrowlake,bios.cannonlake,bios.kabylake,bios.kabylake_r,bios.lunarlake,bios.meteorlake,bios.raptorlake,bios.rocketlake,bios.tigerlake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</si>
  <si>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</si>
  <si>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</si>
  <si>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</si>
  <si>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</si>
  <si>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bios.alderlake,bios.amberlake,bios.arrowlake,bios.cannonlake,bios.coffeelake,bios.cometlake,bios.icelake-client,bios.kabylake,bios.kabylake_r,bios.lunarlake,bios.meteorlake,bios.raptorlake,bios.raptorlake_refresh,bios.whiskeylake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</si>
  <si>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</si>
  <si>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</si>
  <si>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</si>
  <si>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</si>
  <si>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</si>
  <si>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</si>
  <si>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bios.alderlake,bios.amberlake,bios.arrowlake,bios.cannonlake,bios.cometlake,bios.icelake-client,bios.jasperlake,bios.kabylake,bios.kabylake_r,bios.lunarlake,bios.meteorlake,bios.raptorlake,bios.whiskeylake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</si>
  <si>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</si>
  <si>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</si>
  <si>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</si>
  <si>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</si>
  <si>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ocketlake,bios.skylake,bios.tigerlake,bios.whiskeylake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</si>
  <si>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</si>
  <si>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</si>
  <si>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</si>
  <si>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</si>
  <si>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bios.alderlake,bios.amberlake,bios.apollolake,bios.arrowlake,bios.broxton,bios.cannonlake,bios.coffeelake,bios.cometlake,bios.geminilake,bios.icelake-client,bios.kabylake,bios.kabylake_r,bios.lunarlake,bios.meteorlake,bios.raptorlake,bios.raptorlake_refresh,bios.rocketlake,bios.tigerlake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</si>
  <si>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</si>
  <si>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</si>
  <si>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</si>
  <si>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</si>
  <si>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</si>
  <si>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</si>
  <si>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</si>
  <si>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</si>
  <si>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</si>
  <si>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</si>
  <si>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bios.alderlake,bios.amberlake,bios.arrowlake,bios.cannonlake,bios.coffeelake,bios.cometlake,bios.icelake-client,bios.jasperlake,bios.kabylake,bios.kabylake_r,bios.lunarlake,bios.meteorlake,bios.pantherlake,bios.pantherlake-p,bios.raptorlake,bios.raptorlake_refresh,bios.rocketlake,bios.tigerlake,bios.whiskeylake</t>
  </si>
  <si>
    <t>Verify Intel Config TDP feature support</t>
  </si>
  <si>
    <t>CSS-IVE-70943</t>
  </si>
  <si>
    <t>Verify the CPPC Version support based on Operating system</t>
  </si>
  <si>
    <t>CSS-IVE-71015</t>
  </si>
  <si>
    <t>bios.cpu_pm,bios.platform</t>
  </si>
  <si>
    <t>bios.alderlake,bios.amberlake,bios.arrowlake,bios.cannonlake,bios.coffeelake,bios.cometlake,bios.icelake-client,bios.kabylake,bios.kabylake_r,bios.meteorlake,bios.raptorlake,bios.rocketlake,bios.tigerlake,bios.whiskeylake</t>
  </si>
  <si>
    <t>Verify TCC clamp via TEMPERATURE_TARGET MSR</t>
  </si>
  <si>
    <t>CSS-IVE-71017</t>
  </si>
  <si>
    <t>bios.alderlake,bios.amberlake,bios.arrowlake,bios.cannonlake,bios.coffeelake,bios.cometlake,bios.icelake-client,bios.jasperlake,bios.kabylake,bios.kabylake_r,bios.lunarlake,bios.meteorlake,bios.raptorlake,bios.raptorlake_refresh,bios.rocketlake,bios.tigerlake,bios.whiskeylake</t>
  </si>
  <si>
    <t>Verify "TCC offset time window" configuration in Bios</t>
  </si>
  <si>
    <t>CSS-IVE-71089</t>
  </si>
  <si>
    <t>Verify Package Power Limit 1 Time window</t>
  </si>
  <si>
    <t>CSS-IVE-71141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</si>
  <si>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tigerlake,bios.whiskeylake</t>
  </si>
  <si>
    <t>Verify Package PL1 and PL2 enablement from CPU</t>
  </si>
  <si>
    <t>CSS-IVE-71150</t>
  </si>
  <si>
    <t>Verify CPU Flex Ratio Override setup option</t>
  </si>
  <si>
    <t>CSS-IVE-71156</t>
  </si>
  <si>
    <t>bios.amberlake,bios.arrowlake,bios.cannonlake,bios.cometlake,bios.icelake-client,bios.kabylake,bios.kabylake_r,bios.lunarlake,bios.meteorlake,bios.raptorlake,bios.raptorlake_refresh,bios.rocketlake,bios.tigerlake</t>
  </si>
  <si>
    <t>Verify CPU supports for PSYS feature</t>
  </si>
  <si>
    <t>CSS-IVE-71186</t>
  </si>
  <si>
    <t>Verify core ratio limit overrides reverts back to default values correctly on loading Bios defaults</t>
  </si>
  <si>
    <t>CSS-IVE-80837</t>
  </si>
  <si>
    <t>bios.alderlake,bios.arrowlake,bios.cannonlake,bios.coffeelake,bios.cometlake,bios.icelake-client,bios.lunarlake,bios.meteorlake,bios.raptorlake,bios.raptorlake_refresh,bios.tigerlake,bios.whiskeylake</t>
  </si>
  <si>
    <t>Verify Power Limit 3 via PL3_CONTROL MSR</t>
  </si>
  <si>
    <t>CSS-IVE-80989</t>
  </si>
  <si>
    <t>bios.alderlake,bios.amberlake,bios.arrowlake,bios.cannonlake,bios.coffeelake,bios.cometlake,bios.icelake-client,bios.jasperlake,bios.kabylake,bios.kabylake_r,bios.lunarlake,bios.meteorlake,bios.pantherlake,bios.pantherlake-p,bios.raptorlake,bios.rocketlake,bios.tigerlake,bios.whiskeylake</t>
  </si>
  <si>
    <t>Verify Bios has an option to change the PL3 Time window Value</t>
  </si>
  <si>
    <t>CSS-IVE-81018</t>
  </si>
  <si>
    <t>bios.alderlake,bios.amberlake,bios.arrowlake,bios.cannonlake,bios.cometlake,bios.icelake-client,bios.jasperlake,bios.kabylake,bios.kabylake_r,bios.lunarlake,bios.meteorlake,bios.raptorlake,bios.rocketlake,bios.tigerlake</t>
  </si>
  <si>
    <t>Verify config TDP levels supported via CONFIG_TDP_CONTROL MSR</t>
  </si>
  <si>
    <t>CSS-IVE-84556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</si>
  <si>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tigerlake,bios.whiskeylake,ifwi.alderlake,ifwi.cometlake,ifwi.kabylake,ifwi.skylake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</si>
  <si>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</si>
  <si>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</si>
  <si>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</si>
  <si>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</si>
  <si>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</si>
  <si>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</si>
  <si>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bios.alderlake,bios.amberlake,bios.arrowlake,bios.cannonlake,bios.coffeelake,bios.cometlake,bios.icelake-client,bios.kabylake,bios.kabylake_r,bios.lunarlake,bios.meteorlake,bios.pantherlake,bios.pantherlake-p,bios.raptorlake,bios.tigerlake,bios.whiskeylake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</si>
  <si>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</si>
  <si>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</si>
  <si>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</si>
  <si>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</si>
  <si>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</si>
  <si>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</si>
  <si>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</si>
  <si>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</si>
  <si>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</si>
  <si>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</si>
  <si>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</si>
  <si>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</si>
  <si>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</si>
  <si>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</si>
  <si>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</si>
  <si>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</si>
  <si>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</si>
  <si>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</si>
  <si>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</si>
  <si>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</si>
  <si>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bios.alderlake,bios.arrowlake,bios.cannonlake,bios.coffeelake,bios.cometlake,bios.icelake-client,bios.lunarlake,bios.meteorlake,bios.raptorlake,bios.rocketlake,bios.tigerlake,bios.whiskeylake</t>
  </si>
  <si>
    <t>Verify P-state Cycling when Active processor cores are disabled</t>
  </si>
  <si>
    <t>CSS-IVE-101309</t>
  </si>
  <si>
    <t>bios.alderlake,bios.arrowlake,bios.cannonlake,bios.coffeelake,bios.cometlake,bios.icelake-client,bios.jasperlake,bios.lunarlake,bios.meteorlake,bios.raptorlake,bios.tigerlake,bios.whiskeylake,ifwi.arrowlake,ifwi.meteorlake</t>
  </si>
  <si>
    <t>Verify CPU C10 residency when system connected to Wi-Fi Network</t>
  </si>
  <si>
    <t>CSS-IVE-101394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</si>
  <si>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tigerlake,ifwi.whiskeylake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</si>
  <si>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</si>
  <si>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</si>
  <si>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</si>
  <si>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</si>
  <si>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</si>
  <si>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</si>
  <si>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Verify CPU support for Intel Turbo Boost Max Technology 3.0</t>
  </si>
  <si>
    <t>CSS-IVE-100080</t>
  </si>
  <si>
    <t>bios.alderlake,bios.amberlake,bios.arrowlake,bios.cannonlake,bios.cometlake,bios.icelake-client,bios.lunarlake,bios.meteorlake,bios.raptorlake,bios.rocketlake,bios.tigerlake</t>
  </si>
  <si>
    <t>BIOS should have option to enable or disable graphics turbo technology</t>
  </si>
  <si>
    <t>CSS-IVE-92936</t>
  </si>
  <si>
    <t>bios.alderlake,bios.arrowlake,bios.cannonlake,bios.coffeelake,bios.cometlake,bios.icelake-client,bios.jasperlake,bios.lakefield,bios.meteorlake,bios.raptorlake,bios.raptorlake_refresh,bios.rocketlake,bios.tigerlake,bios.whiskeylake</t>
  </si>
  <si>
    <t>Verify Bios an option to enable/disable "CPU 3-strike counter "in BIOS.</t>
  </si>
  <si>
    <t>CSS-IVE-105537</t>
  </si>
  <si>
    <t>bios.alderlake,bios.arrowlake,bios.coffeelake,bios.cometlake,bios.icelake-client,bios.kabylake_r,bios.lakefield,bios.lunarlake,bios.meteorlake,bios.pantherlake,bios.pantherlake-p,bios.raptorlake,bios.rocketlake,bios.tigerlake,bios.whiskeylake</t>
  </si>
  <si>
    <t>Verify CPU operates at LFM/HFM/TFM based on Power mode set to Power Saver/Balanced/High performance respectively post different power state transitions</t>
  </si>
  <si>
    <t>CSS-IVE-105541</t>
  </si>
  <si>
    <t>bios.arrowlake,bios.icelake-client,bios.jasperlake,bios.lakefield,bios.lunarlake,bios.meteorlake,bios.raptorlake,bios.rocketlake,bios.tigerlake</t>
  </si>
  <si>
    <t>Validate Active trip points for DPTF CPU participant</t>
  </si>
  <si>
    <t>CSS-IVE-105595</t>
  </si>
  <si>
    <t>Verify Platform supports SoC crash by checking ACPI BERT table</t>
  </si>
  <si>
    <t>CSS-IVE-100152</t>
  </si>
  <si>
    <t>bios.alderlake,bios.arrowlake,bios.cannonlake,bios.coffeelake,bios.cometlake,bios.geminilake,bios.icelake-client,bios.jasperlake,bios.lakefield,bios.lunarlake,bios.meteorlake,bios.pantherlake,bios.pantherlake-p,bios.raptorlake,bios.raptorlake_refresh,bios.rocketlake,bios.tigerlake,bios.whiskeylake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</si>
  <si>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</si>
  <si>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</si>
  <si>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</si>
  <si>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</si>
  <si>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bios.alderlake,bios.amberlake,bios.apollolake,bios.cannonlake,bios.coffeelake,bios.cometlake,bios.geminilake,bios.icelake-client,bios.jasperlake,bios.kabylake,bios.kabylake_r,bios.lakefield,bios.lunarlake,bios.pantherlake,bios.pantherlake-p,bios.raptorlake,bios.raptorlake_refresh,bios.rocketlake,bios.tigerlake,bios.whiskeylake</t>
  </si>
  <si>
    <t>Verify Intel Turbo Boost Max Technology 3.0 functionality</t>
  </si>
  <si>
    <t>CSS-IVE-100083</t>
  </si>
  <si>
    <t>Validate methods required by Fan device participant are enumerated as part of ACPI DPTF table</t>
  </si>
  <si>
    <t>CSS-IVE-114278</t>
  </si>
  <si>
    <t>bios.alderlake,bios.amberlake,bios.apollolake,bios.arrowlake,bios.cannonlake,bios.coffeelake,bios.cometlake,bios.geminilake,bios.icelake-client,bios.jasperlake,bios.kabylake,bios.kabylake_r,bios.lakefield,bios.lunarlake,bios.meteorlake,bios.pantherlake-m,bios.pantherlake-p,bios.pantherlake-px,bios.pantherlake-s,bios.raptorlake,bios.raptorlake_refresh,bios.rocketlake,bios.tigerlake,bios.whiskeylake</t>
  </si>
  <si>
    <t>Verify willowcove CPU core capabilities.</t>
  </si>
  <si>
    <t>CSS-IVE-115313</t>
  </si>
  <si>
    <t>bios.alderlake,bios.arrowlake,bios.meteorlake,bios.raptorlake,bios.raptorlake_refresh,bios.rocketlake</t>
  </si>
  <si>
    <t>Verify hetero core enumeration</t>
  </si>
  <si>
    <t>CSS-IVE-115732</t>
  </si>
  <si>
    <t>bios.alderlake,bios.arrowlake,bios.lakefield,bios.lunarlake,bios.meteorlake,bios.pantherlake,bios.pantherlake-p,bios.raptorlake,bios.raptorlake_refresh</t>
  </si>
  <si>
    <t>Verify CPU interrupt storm routine(ISR) check</t>
  </si>
  <si>
    <t>CSS-IVE-115822</t>
  </si>
  <si>
    <t>bios.alderlake,bios.arrowlake,bios.coffeelake,bios.cometlake,bios.icelake-client,bios.jasperlake,bios.lakefield,bios.lunarlake,bios.meteorlake,bios.raptorlake,bios.rocketlake,bios.tigerlake,bios.whiskeylake</t>
  </si>
  <si>
    <t>Verify Turbo ratio limit for all Big cores via MSR_TURBO_RATIO_LIMIT MSR</t>
  </si>
  <si>
    <t>CSS-IVE-117778</t>
  </si>
  <si>
    <t>bios.alderlake,bios.arrowlake,bios.coffeelake,bios.cometlake,bios.icelake-client,bios.jasperlake,bios.lakefield,bios.lunarlake,bios.meteorlake,bios.pantherlake,bios.pantherlake-p,bios.raptorlake,bios.tigerlake,bios.whiskeylake</t>
  </si>
  <si>
    <t>Verify platform support "Energy Efficient Turbo" using MSR 1FC [19]</t>
  </si>
  <si>
    <t>CSS-IVE-117779</t>
  </si>
  <si>
    <t>bios.alderlake,bios.arrowlake,bios.coffeelake,bios.cometlake,bios.lunarlake,bios.meteorlake,bios.pantherlake,bios.pantherlake-p,bios.raptorlake,bios.tigerlake</t>
  </si>
  <si>
    <t>Verify PL4 values via VR_CURRENT_CONFIG MSR</t>
  </si>
  <si>
    <t>CSS-IVE-117833</t>
  </si>
  <si>
    <t>bios.alderlake,bios.arrowlake,bios.coffeelake,bios.cometlake,bios.icelake-client,bios.jasperlake,bios.lakefield,bios.lunarlake,bios.meteorlake,bios.pantherlake,bios.pantherlake-p,bios.raptorlake,bios.raptorlake_refresh,bios.rocketlake,bios.tigerlake,bios.whiskeylake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</si>
  <si>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</si>
  <si>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</si>
  <si>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</si>
  <si>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</si>
  <si>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</si>
  <si>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</si>
  <si>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bios.alderlake,bios.arrowlake,bios.cometlake,bios.lunarlake,bios.meteorlake,bios.pantherlake,bios.pantherlake-p,bios.raptorlake,bios.rocketlake,bios.tigerlake</t>
  </si>
  <si>
    <t>Verify Bios displays all the fused frequencies of CPU cores ( P0, P1,P2.. Pn)</t>
  </si>
  <si>
    <t>CSS-IVE-115905</t>
  </si>
  <si>
    <t>bios.alderlake,bios.arrowlake,bios.lunarlake,bios.meteorlake,bios.raptorlake,bios.rocketlake,bios.tigerlake</t>
  </si>
  <si>
    <t>Verify TDC values gets displayed as part of Setup and it is configured correctly based on form factor</t>
  </si>
  <si>
    <t>CSS-IVE-114911</t>
  </si>
  <si>
    <t>bios.alderlake,bios.arrowlake,bios.coffeelake,bios.cometlake,bios.icelake-client,bios.jasperlake,bios.lunarlake,bios.meteorlake,bios.pantherlake,bios.pantherlake-p,bios.raptorlake,bios.rocketlake,bios.tigerlake,bios.whiskeylake,ifwi.lunarlake</t>
  </si>
  <si>
    <t>Verify Bios displays current IMON Slope/Offset default value being used by SKU</t>
  </si>
  <si>
    <t>CSS-IVE-118056</t>
  </si>
  <si>
    <t>bios.alderlake,bios.arrowlake,bios.cometlake,bios.lunarlake,bios.meteorlake,bios.pantherlake,bios.pantherlake-p,bios.pantherlake-u,bios.raptorlake,bios.rocketlake,bios.tigerlake</t>
  </si>
  <si>
    <t>Verify the platform PL1/PL2 value using TAT</t>
  </si>
  <si>
    <t>CSS-IVE-118233</t>
  </si>
  <si>
    <t>bios.alderlake,bios.arrowlake,bios.cometlake,bios.icelake-client,bios.lunarlake,bios.meteorlake,bios.raptorlake</t>
  </si>
  <si>
    <t>Verify platform"s PL1,PL2 and Tau registers value matches as part of MSR and MMIO post Sx</t>
  </si>
  <si>
    <t>CSS-IVE-118234</t>
  </si>
  <si>
    <t>bios.alderlake,bios.arrowlake,bios.cometlake,bios.icelake-client,bios.lunarlake,bios.meteorlake,bios.pantherlake,bios.pantherlake-p,bios.raptorlake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</si>
  <si>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</si>
  <si>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</si>
  <si>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</si>
  <si>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</si>
  <si>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</si>
  <si>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</si>
  <si>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</si>
  <si>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</si>
  <si>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</si>
  <si>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</si>
  <si>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</si>
  <si>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CSS-IVE-119285</t>
  </si>
  <si>
    <t>bios.alderlake,bios.arrowlake,bios.icelake-client,bios.lunarlake,bios.meteorlake,bios.raptorlake,bios.rocketlake,bios.tigerlake</t>
  </si>
  <si>
    <t>Verify IPCS method gets exposed as part of ACPI dump</t>
  </si>
  <si>
    <t>CSS-IVE-119294</t>
  </si>
  <si>
    <t>bios.alderlake,bios.arrowlake,bios.icelake-client,bios.jasperlake,bios.lakefield,bios.lunarlake,bios.meteorlake,bios.raptorlake,bios.rocketlake,bios.tigerlake</t>
  </si>
  <si>
    <t>Verify Iccmax gets displayed as part of Setup and it is configured correctly based on form factor</t>
  </si>
  <si>
    <t>CSS-IVE-119488</t>
  </si>
  <si>
    <t>bios.alderlake,bios.arrowlake,bios.jasperlake,bios.lunarlake,bios.meteorlake,bios.pantherlake-s,bios.raptorlake,bios.tigerlake</t>
  </si>
  <si>
    <t>Verify VR voltage limit gets displayed as part of Setup and it is configured correctly based on form factor</t>
  </si>
  <si>
    <t>CSS-IVE-120144</t>
  </si>
  <si>
    <t>bios.alderlake,bios.arrowlake,bios.jasperlake,bios.lunarlake,bios.meteorlake,bios.pantherlake,bios.pantherlake-p,bios.pantherlake-u,bios.raptorlake,bios.raptorlake_refresh</t>
  </si>
  <si>
    <t>Verify Power Limit 1 and Power Limit 2 values gets displayed as part of Setup and it is configured correctly based on form factor</t>
  </si>
  <si>
    <t>CSS-IVE-120149</t>
  </si>
  <si>
    <t>bios.alderlake,bios.arrowlake,bios.coffeelake,bios.cometlake,bios.icelake-client,bios.jasperlake,bios.lunarlake,bios.meteorlake,bios.raptorlake,bios.rocketlake,bios.tigerlake,bios.whiskeylake</t>
  </si>
  <si>
    <t>Verify non POR options have been removed as part of Acoustic Noise Settings</t>
  </si>
  <si>
    <t>CSS-IVE-120302</t>
  </si>
  <si>
    <t>bios.alderlake,bios.arrowlake,bios.cometlake,bios.lunarlake,bios.meteorlake,bios.raptorlake,bios.rocketlake,bios.tigerlake</t>
  </si>
  <si>
    <t>Verify power state settings are configured correctly</t>
  </si>
  <si>
    <t>CSS-IVE-120304</t>
  </si>
  <si>
    <t>bios.alderlake,bios.arrowlake,bios.lunarlake,bios.meteorlake,bios.pantherlake,bios.pantherlake-p,bios.raptorlake,bios.rocketlake,bios.tigerlake</t>
  </si>
  <si>
    <t>Validate GET ACPI methods in PCH ACPI device for DPTF PCH FIVR participant</t>
  </si>
  <si>
    <t>CSS-IVE-132617</t>
  </si>
  <si>
    <t>bios.alderlake,bios.apollolake,bios.cannonlake,bios.coffeelake,bios.cometlake,bios.icelake-client,bios.jasperlake,bios.kabylake,bios.kabylake_r,bios.lakefield,bios.raptorlake,bios.raptorlake_refresh,bios.rocketlake,bios.tigerlake,bios.whiskeylake</t>
  </si>
  <si>
    <t>Verify HWP Lock Bit status via MISC_PWR_MGMT MSR</t>
  </si>
  <si>
    <t>CSS-IVE-133048</t>
  </si>
  <si>
    <t>Verify Platform's PL1,PL2 and Tau registers value matches as part of MSR and MMIO pre and post Sx When Dual Tau option Disabled in Bios</t>
  </si>
  <si>
    <t>CSS-IVE-132940</t>
  </si>
  <si>
    <t>bios.alderlake,bios.arrowlake,bios.cometlake,bios.lunarlake,bios.meteorlake,bios.pantherlake,bios.pantherlake-p,bios.raptorlake,bios.rocketlake</t>
  </si>
  <si>
    <t>Verify CPUID and FMS  For DT/mobile SKU</t>
  </si>
  <si>
    <t>CSS-IVE-135500</t>
  </si>
  <si>
    <t>bios.alderlake,bios.arrowlake,bios.lunarlake,bios.meteorlake,bios.raptorlake,bios.raptorlake_refresh</t>
  </si>
  <si>
    <t>Verify hetero core enumeration Before and after S3 cycles</t>
  </si>
  <si>
    <t>CSS-IVE-135565</t>
  </si>
  <si>
    <t>bios.alderlake,bios.arrowlake,bios.lakefield,bios.meteorlake,bios.pantherlake,bios.pantherlake-p,bios.raptorlake,bios.raptorlake_refresh</t>
  </si>
  <si>
    <t>Verify BIOS Support for TDC Current Limit</t>
  </si>
  <si>
    <t>CSS-IVE-133822</t>
  </si>
  <si>
    <t>bios.alderlake,bios.arrowlake,bios.lunarlake,bios.meteorlake,bios.pantherlake,bios.pantherlake-p,bios.raptorlake,bios.rocketlake</t>
  </si>
  <si>
    <t>Verify hetero core enumeration Before and after S4 , S5 , warm and cold reboot cycles</t>
  </si>
  <si>
    <t>CSS-IVE-145234</t>
  </si>
  <si>
    <t>bios.alderlake,bios.arrowlake,bios.lunarlake,bios.meteorlake,bios.pantherlake,bios.pantherlake-p,bios.raptorlake,bios.raptorlake_refresh</t>
  </si>
  <si>
    <t>Verify Re-arm command before and after disabling Re-arm BIOS knob</t>
  </si>
  <si>
    <t>CSS-IVE-145806</t>
  </si>
  <si>
    <t>Verify BIOS support for new Device PMAX</t>
  </si>
  <si>
    <t>CSS-IVE-145808</t>
  </si>
  <si>
    <t>bios.alderlake,bios.arrowlake,bios.jasperlake,bios.lunarlake,bios.meteorlake,bios.pantherlake,bios.pantherlake-p,bios.raptorlake</t>
  </si>
  <si>
    <t>Verify Bios programs MAX_CPUMSG_LTR register correctly[Required for entering S0i2.1 state and to achieve PS_ON]</t>
  </si>
  <si>
    <t>CSS-IVE-145816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</si>
  <si>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</si>
  <si>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</si>
  <si>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</si>
  <si>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</si>
  <si>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</si>
  <si>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</si>
  <si>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Global reset happens with security level enabled in BIOS</t>
  </si>
  <si>
    <t>CSS-IVE-145814</t>
  </si>
  <si>
    <t>bios.alderlake,bios.arrowlake,bios.lunarlake,bios.meteorlake,bios.pantherlake,bios.pantherlake-p,bios.raptorlake,bios.raptorlake_refresh,bios.tigerlake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</si>
  <si>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</si>
  <si>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</si>
  <si>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</si>
  <si>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</si>
  <si>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</si>
  <si>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</si>
  <si>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bios.alderlake,bios.lunarlake,bios.meteorlake,bios.raptorlake,bios.rocketlake,ifwi.arrowlake,ifwi.meteorlake</t>
  </si>
  <si>
    <t>Verify Keylocker when Hybrid Core is Enabled</t>
  </si>
  <si>
    <t>CSS-IVE-147121</t>
  </si>
  <si>
    <t>CSS-IVE-147205</t>
  </si>
  <si>
    <t>bios.alderlake,bios.arrowlake,bios.coffeelake,bios.cometlake,bios.icelake-client,bios.lakefield,bios.meteorlake,bios.raptorlake,bios.raptorlake_refresh,bios.tigerlake,bios.whiskeylake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</si>
  <si>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</si>
  <si>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</si>
  <si>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</si>
  <si>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</si>
  <si>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bios.alderlake,bios.arrowlake,bios.icelake-client,bios.lunarlake,bios.meteorlake,bios.raptorlake,bios.raptorlake_refresh,bios.rocketlake,bios.tigerlake</t>
  </si>
  <si>
    <t>Verify system stability post Sx cycles with Keyboard as wake source</t>
  </si>
  <si>
    <t>CSS-IVE-65923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</si>
  <si>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</t>
  </si>
  <si>
    <t>Verify system stability post Sx cycles with Lid Switch as wake source</t>
  </si>
  <si>
    <t>CSS-IVE-65921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</si>
  <si>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ocketlake,bios.tigerlake,bios.whiskeylake</t>
  </si>
  <si>
    <t>Verify System stability on staying in idle state for 12 hours with Display ON</t>
  </si>
  <si>
    <t>CSS-IVE-50608</t>
  </si>
  <si>
    <t>Verify that GPIO devices are enumerated properly on the SUT</t>
  </si>
  <si>
    <t>CSS-IVE-50609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</si>
  <si>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ocketlake,bios.tigerlake,bios.whiskeylake</t>
  </si>
  <si>
    <t>Stress S5-G3-S5 and verify that there is no break in functionality</t>
  </si>
  <si>
    <t>CSS-IVE-65920</t>
  </si>
  <si>
    <t>bios.alderlake,bios.amberlake,bios.apollolake,bios.arrowlake,bios.broxton,bios.cannonlake,bios.cometlake,bios.geminilake,bios.icelake-client,bios.kabylake,bios.kabylake_r,bios.lunarlake,bios.meteorlake,bios.raptorlake,bios.raptorlake_refresh,bios.rocketlake,bios.tigerlake,bios.whiskeylake</t>
  </si>
  <si>
    <t>Verify WWAN (4G) Functionality</t>
  </si>
  <si>
    <t>CSS-IVE-65968</t>
  </si>
  <si>
    <t>bios.alderlake,bios.amberlake,bios.apollolake,bios.arrowlake,bios.cannonlake,bios.coffeelake,bios.geminilake,bios.icelake-client,bios.kabylake,bios.kabylake_r,bios.lakefield,bios.lunarlake,bios.meteorlake,bios.pantherlake,bios.pantherlake-p,bios.raptorlake,bios.tigerlake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</si>
  <si>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</si>
  <si>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</si>
  <si>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</si>
  <si>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</si>
  <si>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bios.platform,bios.sa,fw.ifwi.MGPhy,fw.ifwi.dekelPhy,fw.ifwi.iom,fw.ifwi.pmc,fw.ifwi.sam,fw.ifwi.tbt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</si>
  <si>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,ifwi.amberlake,ifwi.cannonlake,ifwi.coffeelake,ifwi.cometlake,ifwi.icelake,ifwi.kabylake,ifwi.kabylake_r,ifwi.lakefield,ifwi.raptorlake_refresh,ifwi.tigerlake,ifwi.whiskeylake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</si>
  <si>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</si>
  <si>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</si>
  <si>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</si>
  <si>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</si>
  <si>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tigerlake,bios.whiskeylake</t>
  </si>
  <si>
    <t>Verify RTD3 support for USB2.0 Device</t>
  </si>
  <si>
    <t>CSS-IVE-66099</t>
  </si>
  <si>
    <t>Verify Type C - Analog audio accessory mode functionality</t>
  </si>
  <si>
    <t>CSS-IVE-66096</t>
  </si>
  <si>
    <t>bios.alderlake,bios.arrowlake,bios.cannonlake,bios.kabylake,bios.lakefield,bios.meteorlake,bios.raptorlake,bios.raptorlake_refresh</t>
  </si>
  <si>
    <t>Verify Windows OS presents the Boot repair options on  consecutive boot failures with fast boot enabled</t>
  </si>
  <si>
    <t>CSS-IVE-44546</t>
  </si>
  <si>
    <t>bios.alderlake,bios.amberlake,bios.apollolake,bios.arrowlake,bios.cannonlake,bios.coffeelake,bios.cometlake,bios.geminilake,bios.icelake-client,bios.kabylake,bios.kabylake_r,bios.lakefield,bios.lunarlake,bios.meteorlake,bios.raptorlake,bios.raptorlake_refresh,bios.rocketlake,bios.tigerlake,bios.whiskeylake</t>
  </si>
  <si>
    <t>Verify all BKC drivers gets installed successfully via command line Installation</t>
  </si>
  <si>
    <t>CSS-IVE-67697</t>
  </si>
  <si>
    <t>Verify UART function test on OS - Debug logs generation</t>
  </si>
  <si>
    <t>CSS-IVE-69495</t>
  </si>
  <si>
    <t>bios.alderlake,bios.arrowlake,bios.broxton,bios.cannonlake,bios.cometlake,bios.icelake-client,bios.jasperlake,bios.kabylake,bios.lakefield,bios.lunarlake,bios.meteorlake,bios.raptorlake,bios.raptorlake_refresh,bios.rocketlake,bios.tigerlake,bios.whiskeylake</t>
  </si>
  <si>
    <t>Validate Virtual keyboard can be functional in BIOS and OS</t>
  </si>
  <si>
    <t>CSS-IVE-69889</t>
  </si>
  <si>
    <t>bios.alderlake,bios.arrowlake,bios.broxton,bios.lunarlake,bios.meteorlake,bios.pantherlake,bios.pantherlake-p,bios.pantherlake-u,bios.raptorlake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</si>
  <si>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</si>
  <si>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</si>
  <si>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</si>
  <si>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CSS-IVE-69924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</si>
  <si>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raptorlake_refresh,bios.rocketlake,bios.tigerlake,bios.whiskeylake</t>
  </si>
  <si>
    <t>All cores initialization check in normal and after S4 mode</t>
  </si>
  <si>
    <t>CSS-IVE-69989</t>
  </si>
  <si>
    <t>bios.alderlake,bios.amberlake,bios.apollolake,bios.arrowlake,bios.broxton,bios.cannonlake,bios.cometlake,bios.geminilake,bios.icelake-client,bios.kabylake,bios.kabylake_r,bios.lakefield,bios.lunarlake,bios.meteorlake,bios.raptorlake,bios.raptorlake_refresh,bios.whiskeylake</t>
  </si>
  <si>
    <t>Verify Dual display is working in Clone mode (onboard eDP+HDMI) with S4, S5, warm and cold reset cycles</t>
  </si>
  <si>
    <t>CSS-IVE-70040</t>
  </si>
  <si>
    <t>bios.alderlake,bios.apollolake,bios.arrowlake,bios.broxton,bios.cannonlake,bios.coffeelake,bios.cometlake,bios.geminilake,bios.icelake-client,bios.jasperlake,bios.kabylake,bios.kabylake_r,bios.lunarlake,bios.meteorlake,bios.pantherlake,bios.pantherlake-p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</si>
  <si>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Verify Dual display is working in Clone mode with (onboard eDP+HDMI) S3 cycles</t>
  </si>
  <si>
    <t>CSS-IVE-70340</t>
  </si>
  <si>
    <t>bios.alderlake,bios.apollolake,bios.arrowlake,bios.cannonlake,bios.coffeelake,bios.cometlake,bios.geminilake,bios.icelake-client,bios.jasperlake,bios.kabylake,bios.kabylake_r,bios.lunarlake,bios.meteorlake,bios.pantherlake,bios.pantherlake-p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</si>
  <si>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</si>
  <si>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</si>
  <si>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</si>
  <si>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</si>
  <si>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that WWAN enter D3 when SUT is in CMS</t>
  </si>
  <si>
    <t>CSS-IVE-70970</t>
  </si>
  <si>
    <t>bios.alderlake,bios.amberlake,bios.arrowlake,bios.cannonlake,bios.coffeelake,bios.cometlake,bios.icelake-client,bios.kabylake,bios.kabylake_r,bios.lakefield,bios.lunarlake,bios.meteorlake,bios.pantherlake,bios.pantherlake-p,bios.raptorlake,bios.raptorlake_refresh,bios.tigerlake,bios.whiskeylake</t>
  </si>
  <si>
    <t>Verify devices (M.2 SATA SSD, WiFi, BT, Camera, Touch Panel) are entering to RTD3 cold state</t>
  </si>
  <si>
    <t>CSS-IVE-70971</t>
  </si>
  <si>
    <t>bios.platform,fw.ifwi.others,fw.ifwi.pchc</t>
  </si>
  <si>
    <t>bios.alderlake,bios.amberlake,bios.arrowlake,bios.cannonlake,bios.coffeelake,bios.cometlake,bios.icelake-client,bios.jasperlake,bios.kabylake,bios.kabylake_r,bios.lunarlake,bios.meteorlake,bios.pantherlake,bios.pantherlake-p,bios.raptorlake,bios.tigerlake,bios.whiskeylake,ifwi.arrowlake,ifwi.lunarlake,ifwi.meteorlake,ifwi.raptorlake</t>
  </si>
  <si>
    <t>Verify SUT wakes from Connected Standby using Touchpad</t>
  </si>
  <si>
    <t>CSS-IVE-16697</t>
  </si>
  <si>
    <t>bios.alderlake,bios.arrowlake,bios.cannonlake,bios.coffeelake,bios.cometlake,bios.jasperlake,bios.kabylake,bios.kabylake_r,bios.lunarlake,bios.meteorlake,bios.raptorlake,bios.whiskeylake</t>
  </si>
  <si>
    <t>Verify TBT (thunderbolt) device other than Display does not work in Display Port only security level</t>
  </si>
  <si>
    <t>CSS-IVE-71083</t>
  </si>
  <si>
    <t>bios.amberlake,bios.cannonlake,bios.coffeelake,bios.cometlake,bios.icelake-client,bios.kabylake,bios.kabylake_r,bios.raptorlake,bios.raptorlake_refresh,bios.rocketlake,bios.tigerlake,bios.whiskeylake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</si>
  <si>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</si>
  <si>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</si>
  <si>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</si>
  <si>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</si>
  <si>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bios.alderlake,bios.arrowlake,bios.cannonlake,bios.coffeelake,bios.cometlake,bios.icelake-client,bios.kabylake,bios.kabylake_r,bios.lunarlake,bios.pantherlake,bios.pantherlake-p,bios.raptorlake,bios.raptorlake_refresh,bios.rocketlake,bios.tigerlake,bios.whiskeylake,ifwi.cannonlake,ifwi.coffeelake,ifwi.cometlake,ifwi.icelake,ifwi.kabylake,ifwi.kabylake_r,ifwi.lunarlake,ifwi.raptorlake_refresh,ifwi.tigerlake,ifwi.whiskeylake</t>
  </si>
  <si>
    <t>Verify system enters S5 state irrespective of fast startup option in OS with system in AC mode</t>
  </si>
  <si>
    <t>CSS-IVE-72694</t>
  </si>
  <si>
    <t>bios.platform,fw.ifwi.others,fw.ifwi.pmc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</si>
  <si>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</si>
  <si>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Verify PCIe device enumeration before/after Sx-cycles</t>
  </si>
  <si>
    <t>CSS-IVE-80338</t>
  </si>
  <si>
    <t>bios.alderlake,bios.amberlake,bios.arrowlake,bios.cannonlake,bios.coffeelake,bios.icelake-client,bios.kabylake,bios.kabylake_r,bios.lunarlake,bios.meteorlake,bios.raptorlake,bios.rocketlake,bios.tigerlake,bios.whiskeylake</t>
  </si>
  <si>
    <t>Verification of CPU-HID (Core SKU) values in ACPI dump for Micro-PEP devices</t>
  </si>
  <si>
    <t>CSS-IVE-78915</t>
  </si>
  <si>
    <t>bios.alderlake,bios.arrowlake,bios.coffeelake,bios.cometlake,bios.icelake-client,bios.kabylake,bios.kabylake_r,bios.lunarlake,bios.meteorlake,bios.pantherlake,bios.pantherlake-p,bios.raptorlake,bios.raptorlake_refresh,bios.rocketlake,bios.tigerlake,bios.whiskeylake</t>
  </si>
  <si>
    <t>Verify concurrent functionality of USB-C PD and USB-C Data Transfer ports for dual port RVP</t>
  </si>
  <si>
    <t>CSS-IVE-84963</t>
  </si>
  <si>
    <t>bios.alderlake,bios.arrowlake,bios.cannonlake,bios.coffeelake,bios.cometlake,bios.icelake-client,bios.jasperlake,bios.kabylake,bios.kabylake_r,bios.lakefield,bios.lunarlake,bios.meteorlake,bios.pantherlake,bios.pantherlake-p,bios.raptorlake,bios.raptorlake_refresh,bios.tigerlake,bios.whiskeylake</t>
  </si>
  <si>
    <t>Verify basic Power Button Functionality in   DC  mode</t>
  </si>
  <si>
    <t>CSS-IVE-85621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</si>
  <si>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raptorlake_refresh</t>
  </si>
  <si>
    <t>Validate system wakes up from Sx states via USB devices</t>
  </si>
  <si>
    <t>CSS-IVE-80238</t>
  </si>
  <si>
    <t>bios.alderlake,bios.amberlake,bios.apollolake,bios.arrowlake,bios.cannonlake,bios.cometlake,bios.geminilake,bios.icelake-client,bios.jasperlake,bios.kabylake,bios.kabylake_r,bios.lunarlake,bios.meteorlake,bios.pantherlake,bios.pantherlake-p,bios.raptorlake,bios.raptorlake_refresh,bios.rocketlake,bios.tigerlake,bios.whiskeylake</t>
  </si>
  <si>
    <t>Validate SUT wake from S3 &amp; S4 Using USB-LAN device AC mode</t>
  </si>
  <si>
    <t>CSS-IVE-80239</t>
  </si>
  <si>
    <t>Verify SATA HDD data transfer at OS and EFI Shell</t>
  </si>
  <si>
    <t>CSS-IVE-81062</t>
  </si>
  <si>
    <t>bios.pch,fw.ifwi.pchc</t>
  </si>
  <si>
    <t>bios.alderlake,bios.apollolake,bios.arrowlake,bios.cannonlake,bios.coffeelake,bios.cometlake,bios.geminilake,bios.icelake-client,bios.jasperlake,bios.kabylake,bios.kabylake_r,bios.lunarlake,bios.meteorlake,bios.pantherlake-p,bios.pantherlake-u,bios.raptorlake,bios.rocketlake,bios.tigerlake,bios.whiskeylake,ifwi.apollolake,ifwi.cannonlake,ifwi.coffeelake,ifwi.cometlake,ifwi.geminilake,ifwi.icelake,ifwi.kabylake,ifwi.kabylake_r,ifwi.raptorlake,ifwi.tigerlake,ifwi.whiskeylake</t>
  </si>
  <si>
    <t>Bios shall support maximum allocation of 130 MB memory for EFI Boot Services Data</t>
  </si>
  <si>
    <t>CSS-IVE-84959</t>
  </si>
  <si>
    <t>bios.alderlake,bios.arrowlake,bios.cannonlake,bios.coffeelake,bios.cometlake,bios.icelake-client,bios.lunarlake,bios.meteorlake,bios.raptorlake,bios.rocketlake,bios.tigerlake</t>
  </si>
  <si>
    <t>Verify RTD3/ACPI D3cold Support can be enabled/disabled from Setup and SUT remains intact across Sx cycles</t>
  </si>
  <si>
    <t>CSS-IVE-80982</t>
  </si>
  <si>
    <t>bios.alderlake,bios.amberlake,bios.amberlake_7w,bios.arrowlake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</si>
  <si>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Verify RTD3 residency for SATA HDD during S0(Idle) and DMS states</t>
  </si>
  <si>
    <t>CSS-IVE-79966</t>
  </si>
  <si>
    <t>bios.alderlake,bios.arrowlake,bios.cannonlake,bios.coffeelake,bios.cometlake,bios.geminilake,bios.icelake-client,bios.kabylake,bios.kabylake_r,bios.meteorlake,bios.raptorlake,bios.rocketlake,bios.tigerlake,bios.whiskeylake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</si>
  <si>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</si>
  <si>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</si>
  <si>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</si>
  <si>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</si>
  <si>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bios.alderlake,bios.arrowlake,bios.cannonlake,bios.coffeelake,bios.cometlake,bios.geminilake,bios.icelake-client,bios.jasperlake,bios.kabylake,bios.kabylake_r,bios.lunarlake,bios.meteorlake,bios.raptorlake,bios.rocketlake,bios.tigerlake,bios.whiskeylake,ifwi.arrowlake,ifwi.meteorlake</t>
  </si>
  <si>
    <t>Verify that ACPI supports Low Power Idle Table (LPIT) to support Modern Standby</t>
  </si>
  <si>
    <t>CSS-IVE-78644</t>
  </si>
  <si>
    <t>bios.alderlake,bios.amberlake,bios.amberlake_7w,bios.arrowlake,bios.cannonlake,bios.coffeelake,bios.cometlake,bios.icelake-client,bios.jasperlake,bios.kabylake,bios.kabylake_r,bios.lakefield,bios.lunarlake,bios.meteorlake,bios.raptorlake,bios.rocketlake,bios.tigerlake,bios.whiskeylake</t>
  </si>
  <si>
    <t>Verify if BIOS displays Firmware Status 1, Status 2 values and check if the same is displayed in OS</t>
  </si>
  <si>
    <t>CSS-IVE-80247</t>
  </si>
  <si>
    <t>bios.alderlake,bios.arrowlake,bios.cannonlake,bios.coffeelake,bios.kabylake,bios.kabylake_r,bios.lunarlake,bios.meteorlake,bios.raptorlake,bios.raptorlake_refresh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</si>
  <si>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</si>
  <si>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</si>
  <si>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</si>
  <si>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</si>
  <si>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</si>
  <si>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</si>
  <si>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</si>
  <si>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CSS-IVE-92265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</si>
  <si>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tigerlake,bios.whiskeylake,ifwi.arrowlake,ifwi.meteorlake,ifwi.raptorlake_refresh</t>
  </si>
  <si>
    <t>Verify System stays in S5 when power button is pressed while in Bios page (Negative Test )</t>
  </si>
  <si>
    <t>CSS-IVE-92277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</si>
  <si>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rocketlake,bios.tigerlake,bios.whiskeylake</t>
  </si>
  <si>
    <t>[TBT]Verify DMAR Table is populated on Enabling VT-D</t>
  </si>
  <si>
    <t>CSS-IVE-119130</t>
  </si>
  <si>
    <t>bios.alderlake,bios.cannonlake,bios.coffeelake,bios.cometlake,bios.icelake-client,bios.kabylake,bios.raptorlake,bios.raptorlake_refresh,bios.rocketlake,bios.whiskeylake</t>
  </si>
  <si>
    <t>Verify TBT RTD3 entry and exit in a Daisy chain</t>
  </si>
  <si>
    <t>CSS-IVE-118924</t>
  </si>
  <si>
    <t>bios.alderlake,bios.arrowlake,bios.cannonlake,bios.coffeelake,bios.cometlake,bios.icelake-client,bios.kabylake,bios.kabylake_r,bios.lunarlake,bios.meteorlake,bios.pantherlake,bios.pantherlake-p,bios.raptorlake,bios.raptorlake_refresh,bios.rocketlake,bios.tigerlake,bios.whiskeylake</t>
  </si>
  <si>
    <t>Validate HDMI Display functionality over Type-C port in Pre/Post Sx and reboot cycles</t>
  </si>
  <si>
    <t>CSS-IVE-92747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</si>
  <si>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cannonlake,ifwi.coffeelake,ifwi.cometlake,ifwi.geminilake,ifwi.icelake,ifwi.kabylake,ifwi.kabylake_r,ifwi.lakefield,ifwi.lunarlake,ifwi.meteorlake,ifwi.raptorlake,ifwi.tigerlake,ifwi.tigerlake_refresh,ifwi.whiskeylake</t>
  </si>
  <si>
    <t>Verify Bluetooth power management profile for DT SKU through ACPI table</t>
  </si>
  <si>
    <t>CSS-IVE-79891</t>
  </si>
  <si>
    <t>bios.alderlake,bios.arrowlake,bios.cannonlake,bios.coffeelake,bios.cometlake,bios.icelake-client,bios.kabylake,bios.lunarlake,bios.meteorlake,bios.raptorlake,bios.raptorlake_refresh,bios.rocketlake</t>
  </si>
  <si>
    <t>[TBT] Verify Reservation of PCIe Bus numbers for Thunderbolt</t>
  </si>
  <si>
    <t>CSS-IVE-92914</t>
  </si>
  <si>
    <t>bios.alderlake,bios.amberlake,bios.arrowlake,bios.cannonlake,bios.coffeelake,bios.cometlake,bios.icelake-client,bios.kabylake,bios.kabylake_r,bios.lunarlake,bios.meteorlake,bios.pantherlake-h,bios.pantherlake-p,bios.pantherlake-u,bios.raptorlake,bios.raptorlake_refresh,bios.tigerlake,bios.whiskeylake</t>
  </si>
  <si>
    <t>Verify TBT device enumeration under Thunderbolt controller in device manager</t>
  </si>
  <si>
    <t>CSS-IVE-77157</t>
  </si>
  <si>
    <t>bios.alderlake,bios.arrowlake,bios.cannonlake,bios.coffeelake,bios.cometlake,bios.icelake-client,bios.kabylake,bios.kabylake_r,bios.lunarlake,bios.meteorlake,bios.pantherlake,bios.pantherlake-h,bios.pantherlake-p,bios.pantherlake-u,bios.raptorlake,bios.raptorlake_refresh,bios.rocketlake,bios.tigerlake,bios.whiskeylake</t>
  </si>
  <si>
    <t>Verify PEP should load with Compatible ID EISAID ("PNP0D80")</t>
  </si>
  <si>
    <t>CSS-IVE-78763</t>
  </si>
  <si>
    <t>bios.alderlake,bios.amberlake,bios.arrowlake,bios.coffeelake,bios.cometlake,bios.icelake-client,bios.kabylake,bios.kabylake_r,bios.lunarlake,bios.meteorlake,bios.pantherlake,bios.pantherlake-p,bios.raptorlake,bios.raptorlake_refresh,bios.rocketlake,bios.tigerlake,bios.whiskeylake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</si>
  <si>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</si>
  <si>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</si>
  <si>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</si>
  <si>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</si>
  <si>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</si>
  <si>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</si>
  <si>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</si>
  <si>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</si>
  <si>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</si>
  <si>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CSS-IVE-94002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</si>
  <si>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</si>
  <si>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</si>
  <si>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</si>
  <si>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</si>
  <si>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bios.alderlake,bios.arrowlake,bios.cannonlake,bios.coffeelake,bios.geminilake,bios.icelake-client,bios.kabylake_r,bios.lunarlake,bios.meteorlake,bios.pantherlake,bios.pantherlake-p,bios.raptorlake,bios.raptorlake_refresh,bios.rocketlake,bios.tigerlake,bios.whiskeylake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</si>
  <si>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</si>
  <si>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</si>
  <si>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</si>
  <si>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</si>
  <si>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bios.alderlake,bios.arrowlake,bios.cannonlake,bios.coffeelake,bios.icelake-client,bios.jasperlake,bios.kabylake_r,bios.lakefield,bios.lunarlake,bios.meteorlake,bios.raptorlake,bios.raptorlake_refresh,bios.rocketlake,bios.tigerlake,bios.whiskeylake,ifwi.alderlake,ifwi.arrowlake,ifwi.lunarlake,ifwi.meteorlake,ifwi.raptorlake,ifwi.raptorlake_refresh</t>
  </si>
  <si>
    <t>Verify Type-C Docking with 2XLANE DP and Super Speed functionality before/after Sx Cycles(S3,S4,S5)</t>
  </si>
  <si>
    <t>CSS-IVE-94320</t>
  </si>
  <si>
    <t>bios.alderlake,bios.amberlake,bios.arrowlake,bios.cannonlake,bios.coffeelake,bios.icelake-client,bios.jasperlake,bios.kabylake,bios.kabylake_r,bios.lakefield,bios.lunarlake,bios.meteorlake,bios.pantherlake,bios.pantherlake-p,bios.raptorlake,bios.raptorlake_refresh,bios.rocketlake,bios.tigerlake,bios.whiskeylake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</si>
  <si>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</si>
  <si>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</si>
  <si>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</si>
  <si>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</si>
  <si>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bios.alderlake,bios.amberlake,bios.apollolake,bios.arrowlake,bios.cannonlake,bios.coffee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</si>
  <si>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</si>
  <si>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</si>
  <si>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</si>
  <si>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</si>
  <si>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</si>
  <si>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</si>
  <si>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</si>
  <si>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</si>
  <si>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bios.alderlake,bios.arrowlake,bios.cannonlake,bios.coffeelake,bios.cometlake,bios.geminilake,bios.icelake-client,bios.jasperlake,bios.kabylake_r,bios.lakefield,bios.lunarlake,bios.meteorlake,bios.raptorlake,bios.raptorlake_refresh,bios.rocketlake,bios.tigerlake,bios.whiskeylake,ifwi.arrowlake,ifwi.cannonlake,ifwi.coffeelake,ifwi.cometlake,ifwi.geminilake,ifwi.icelake,ifwi.kabylake_r,ifwi.lakefield,ifwi.lunarlake,ifwi.meteorlake,ifwi.raptorlake,ifwi.raptorlake_refresh,ifwi.tigerlake,ifwi.whiskeylake</t>
  </si>
  <si>
    <t>Verify Type-C multi port - USB only functionality before/after CMS state</t>
  </si>
  <si>
    <t>CSS-IVE-94331</t>
  </si>
  <si>
    <t>bios.alderlake,bios.arrowlake,bios.cannonlake,bios.coffeelake,bios.cometlake,bios.geminilake,bios.icelake-client,bios.jasperlake,bios.kabylake_r,bios.lakefield,bios.lunarlake,bios.meteorlake,bios.pantherlake,bios.pantherlake-p,bios.raptorlake,bios.raptorlake_refresh,bios.rocketlake,bios.tigerlake,bios.whiskeylake,ifwi.arrowlake,ifwi.cannonlake,ifwi.coffeelake,ifwi.cometlake,ifwi.geminilake,ifwi.icelake,ifwi.kabylake_r,ifwi.lakefield,ifwi.lunarlake,ifwi.meteorlake,ifwi.raptorlake,ifwi.raptorlake_refresh,ifwi.tigerlake,ifwi.whiskeylake</t>
  </si>
  <si>
    <t>Verify Type-C multi port functionality - Display and USB</t>
  </si>
  <si>
    <t>CSS-IVE-94337</t>
  </si>
  <si>
    <t>bios.platform,bios.sa,fw.ifwi.MGPhy,fw.ifwi.iom,fw.ifwi.nphy,fw.ifwi.pmc,fw.ifwi.sam,fw.ifwi.sphy,fw.ifwi.tbt</t>
  </si>
  <si>
    <t>bios.alderlake,bios.arrowlake,bios.cannonlake,bios.coffeelake,bios.cometlake,bios.geminilake,bios.icelake-client,bios.jasperlake,bios.kabylake_r,bios.lakefield,bios.lunarlake,bios.meteorlake,bios.raptorlake,bios.raptorlake_refresh,bios.rocketlake,bios.whiskeylake,ifwi.arrowlake,ifwi.cannonlake,ifwi.coffeelake,ifwi.cometlake,ifwi.geminilake,ifwi.icelake,ifwi.kabylake_r,ifwi.lakefield,ifwi.meteorlake,ifwi.raptorlake,ifwi.raptorlake_refresh,ifwi.whiskeylake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</si>
  <si>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</si>
  <si>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</si>
  <si>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</si>
  <si>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</si>
  <si>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bios.alderlake,bios.arrowlake,bios.cannonlake,bios.coffeelake,bios.cometlake,bios.geminilake,bios.icelake-client,bios.jasperlake,bios.kabylake_r,bios.lakefield,bios.lunarlake,bios.meteorlake,bios.pantherlake,bios.pantherlake-p,bios.raptorlake,bios.raptorlake_refresh,bios.rocketlake,bios.tigerlake,bios.whiskeylake</t>
  </si>
  <si>
    <t>Verify Sx/S0ix cycle"s with ZPODD connected to System</t>
  </si>
  <si>
    <t>CSS-IVE-95195</t>
  </si>
  <si>
    <t>bios.alderlake,bios.apollolake,bios.arrowlake,bios.cannonlake,bios.geminilake,bios.kabylake,bios.kabylake_r,bios.lunarlake,bios.meteorlake,bios.raptorlake,bios.tigerlake,ifwi.apollolake,ifwi.arrowlake,ifwi.cannonlake,ifwi.geminilake,ifwi.kabylake,ifwi.kabylake_r,ifwi.lunarlake,ifwi.meteorlake,ifwi.raptorlake,ifwi.tigerlake</t>
  </si>
  <si>
    <t>Verify Type-C multi port functionality - Display, USB debug and TBT dock</t>
  </si>
  <si>
    <t>CSS-IVE-95251</t>
  </si>
  <si>
    <t>bios.alderlake,bios.arrowlake,bios.cannonlake,bios.coffeelake,bios.cometlake,bios.icelake-client,bios.kabylake_r,bios.lunarlake,bios.meteorlake,bios.pantherlake,bios.pantherlake-p,bios.raptorlake,bios.raptorlake_refresh,bios.rocketlake,bios.tigerlake,ifwi.arrowlake,ifwi.cannonlake,ifwi.coffeelake,ifwi.cometlake,ifwi.icelake,ifwi.kabylake_r,ifwi.lunarlake,ifwi.meteorlake,ifwi.raptorlake,ifwi.raptorlake_refresh,ifwi.tigerlake,ifwi.tigerlake_refresh</t>
  </si>
  <si>
    <t>Verify Type-C multi port functionality - Display, USB debug and TBT dock after G3 and reboot cycles</t>
  </si>
  <si>
    <t>CSS-IVE-95252</t>
  </si>
  <si>
    <t>bios.alderlake,bios.arrowlake,bios.cannonlake,bios.coffeelake,bios.cometlake,bios.icelake-client,bios.kabylake_r,bios.lunarlake,bios.meteorlake,bios.pantherlake,bios.pantherlake-p,bios.raptorlake,bios.raptorlake_refresh,bios.rocketlake,bios.tigerlake,bios.whiskeylake</t>
  </si>
  <si>
    <t>Verify Type-C multi port functionality - Provider, HDMI and USB Camera</t>
  </si>
  <si>
    <t>CSS-IVE-95262</t>
  </si>
  <si>
    <t>bios.alderlake,bios.arrowlake,bios.cannonlake,bios.coffeelake,bios.cometlake,bios.icelake-client,bios.kabylake_r,bios.lunarlake,bios.meteorlake,bios.pantherlake,bios.pantherlake-p,bios.raptorlake,bios.raptorlake_refresh,bios.rocketlake,bios.tigerlake,bios.whiskeylake,ifwi.arrowlake,ifwi.cannonlake,ifwi.coffeelake,ifwi.cometlake,ifwi.icelake,ifwi.kabylake_r,ifwi.lunarlake,ifwi.meteorlake,ifwi.raptorlake,ifwi.raptorlake_refresh,ifwi.tigerlake,ifwi.tigerlake_refresh,ifwi.whiskeylake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</si>
  <si>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</si>
  <si>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</si>
  <si>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</si>
  <si>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</si>
  <si>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</si>
  <si>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</si>
  <si>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PR Swap, USB3.1 and TBT-Display</t>
  </si>
  <si>
    <t>CSS-IVE-95266</t>
  </si>
  <si>
    <t>bios.alderlake,bios.arrowlake,bios.cannonlake,bios.coffeelake,bios.cometlake,bios.icelake-client,bios.kabylake_r,bios.lunarlake,bios.meteorlake,bios.pantherlake,bios.pantherlake-p,bios.raptorlake,bios.raptorlake_refresh,bios.whiskeylake</t>
  </si>
  <si>
    <t>Verify Type-C multi port functionality - Type-C dock, Provider, TBT eGFX</t>
  </si>
  <si>
    <t>CSS-IVE-95272</t>
  </si>
  <si>
    <t>bios.alderlake,bios.arrowlake,bios.cannonlake,bios.coffeelake,bios.cometlake,bios.icelake-client,bios.kabylake_r,bios.lunarlake,bios.meteorlake,bios.pantherlake,bios.pantherlake-p,bios.raptorlake,bios.raptorlake_refresh,bios.tigerlake,bios.whiskeylake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</si>
  <si>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</si>
  <si>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</si>
  <si>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</si>
  <si>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</si>
  <si>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bios.alderlake,bios.arrowlake,bios.cannonlake,bios.coffeelake,bios.cometlake,bios.icelake-client,bios.kabylake_r,bios.lunarlake,bios.meteorlake,bios.raptorlake,bios.raptorlake_refresh,bios.rocketlake,bios.tigerlake,bios.whiskeylake</t>
  </si>
  <si>
    <t>Verify Discrete Wi-Fi Functionality with CNVi option Disabled in BIOS</t>
  </si>
  <si>
    <t>CSS-IVE-95322</t>
  </si>
  <si>
    <t>bios.alderlake,bios.arrowlake,bios.cannonlake,bios.coffeelake,bios.cometlake,bios.geminilake,bios.icelake-client,bios.jasperlake,bios.lunarlake,bios.meteorlake,bios.raptorlake,bios.raptorlake_refresh,bios.rocketlake,bios.tigerlake,bios.whiskeylake</t>
  </si>
  <si>
    <t>Verify Discrete BT Functionality with CNVi option Disabled in BIOS</t>
  </si>
  <si>
    <t>CSS-IVE-95354</t>
  </si>
  <si>
    <t>bios.alderlake,bios.arrowlake,bios.cannonlake,bios.coffeelake,bios.cometlake,bios.geminilake,bios.icelake-client,bios.jasperlake,bios.lunarlake,bios.meteorlake,bios.raptorlake,bios.rocketlake,bios.tigerlake,bios.whiskeylake</t>
  </si>
  <si>
    <t>[TBT] Verify connection Swap during S3 with all Type-C ports - USB3.1 Gen2, USB3.0 Hub and USB2.0</t>
  </si>
  <si>
    <t>CSS-IVE-95390</t>
  </si>
  <si>
    <t>Verify RTD3 residency for SATA SSD during CS and Idle states</t>
  </si>
  <si>
    <t>CSS-IVE-95782</t>
  </si>
  <si>
    <t>bios.alderlake,bios.arrowlake,bios.cannonlake,bios.coffeelake,bios.cometlake,bios.icelake-client,bios.jasperlake,bios.kabylake,bios.kabylake_r,bios.lunarlake,bios.meteorlake,bios.pantherlake,bios.pantherlake-p,bios.raptorlake,bios.rocketlake,bios.tigerlake,bios.whiskeylake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</si>
  <si>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</si>
  <si>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</si>
  <si>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</si>
  <si>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</si>
  <si>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bios.alderlake,bios.arrowlake,bios.cannonlake,bios.coffeelake,bios.cometlake,bios.lunarlake,bios.meteorlake,bios.raptorlake,bios.whiskeylake</t>
  </si>
  <si>
    <t>Verify System won"t wake from S3 when HDMI display hot plug-in and hot plug-out</t>
  </si>
  <si>
    <t>CSS-IVE-98898</t>
  </si>
  <si>
    <t>bios.alderlake,bios.amberlake,bios.arrowlake,bios.cannonlake,bios.coffeelake,bios.cometlake,bios.icelake-client,bios.kabylake,bios.kabylake_r,bios.lunarlake,bios.meteorlake,bios.raptorlake,bios.rocketlake,bios.tigerlake,bios.whiskeylake,ifwi.alderlake,ifwi.amberlake,ifwi.cannonlake,ifwi.coffeelake,ifwi.cometlake,ifwi.icelake,ifwi.kabylake,ifwi.kabylake_r,ifwi.tigerlake,ifwi.whiskeylake</t>
  </si>
  <si>
    <t>Verify PC10 Residency with system in CMS mode with AHCI/NVMe PCIe device is connected</t>
  </si>
  <si>
    <t>CSS-IVE-86890</t>
  </si>
  <si>
    <t>bios.alderlake,bios.arrowlake,bios.cannonlake,bios.geminilake,bios.icelake-client,bios.kabylake,bios.lunarlake,bios.meteorlake,bios.pantherlake,bios.pantherlake-p,bios.raptorlake,bios.raptorlake_refresh,bios.rocketlake,bios.tigerlake</t>
  </si>
  <si>
    <t>Verify state after G3 functionality based on BIOS options (S0 state, S5 state)</t>
  </si>
  <si>
    <t>CSS-IVE-99275</t>
  </si>
  <si>
    <t>bios.alderlake,bios.amberlake,bios.arrowlake,bios.cannonlake,bios.coffeelake,bios.cometlake,bios.icelake-client,bios.jasperlake,bios.kabylake,bios.kabylake_r,bios.lunarlake,bios.meteorlake,bios.pantherlake,bios.pantherlake-p,bios.raptorlake,bios.raptorlake_refresh,bios.rocketlake,bios.tigerlake,bios.whiskeylake,ifwi.amberlake,ifwi.cannonlake,ifwi.coffeelake,ifwi.cometlake,ifwi.icelake,ifwi.kabylake,ifwi.kabylake_r,ifwi.raptorlake_refresh,ifwi.tigerlake,ifwi.whiskeylake</t>
  </si>
  <si>
    <t>Verify System trace via BSSB interface over Type-A port</t>
  </si>
  <si>
    <t>CSS-IVE-99314</t>
  </si>
  <si>
    <t>bios.alderlake,bios.amber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tigerlake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</si>
  <si>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</si>
  <si>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</si>
  <si>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</si>
  <si>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</si>
  <si>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bios.alderlake,bios.amberlake,bios.arrowlake,bios.cannonlake,bios.coffeelake,bios.cometlake,bios.geminilake,bios.icelake-client,bios.jasperlake,bios.kabylake,bios.kabylake_r,bios.lunarlake,bios.meteorlake,bios.raptorlake,bios.raptorlake_refresh,bios.rocketlake,bios.tigerlake,bios.whiskeylake,ifwi.amberlake,ifwi.arrowlake,ifwi.cannonlake,ifwi.coffeelake,ifwi.cometlake,ifwi.geminilake,ifwi.icelake,ifwi.kabylake,ifwi.kabylake_r,ifwi.lunarlake,ifwi.meteorlake,ifwi.raptorlake,ifwi.tigerlake,ifwi.whiskeylake</t>
  </si>
  <si>
    <t>Verify USB Host - SCSI Protocol (UASP) Support</t>
  </si>
  <si>
    <t>CSS-IVE-99494</t>
  </si>
  <si>
    <t>bios.platform,bios.sa,fw.ifwi.MGPhy,fw.ifwi.dekelPhy,fw.ifwi.iom,fw.ifwi.pmc,fw.ifwi.tbt</t>
  </si>
  <si>
    <t>bios.alderlake,bios.arrowlake,bios.cannonlake,bios.coffeelake,bios.cometlake,bios.icelake-client,bios.meteorlake,bios.raptorlake,bios.raptorlake_refresh,bios.tigerlake,bios.whiskeylake,ifwi.cannonlake,ifwi.coffeelake,ifwi.cometlake,ifwi.icelake,ifwi.raptorlake_refresh,ifwi.tigerlake,ifwi.whiskeylake</t>
  </si>
  <si>
    <t>Verify SUT wake from S3,S4 using Type-C dock connected over Type-C port</t>
  </si>
  <si>
    <t>CSS-IVE-99963</t>
  </si>
  <si>
    <t>Verify display turns off post reaching RTC time limit</t>
  </si>
  <si>
    <t>CSS-IVE-99965</t>
  </si>
  <si>
    <t>bios.platform,fw.ifwi.others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</si>
  <si>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,ifwi.whiskeylake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</si>
  <si>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</si>
  <si>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</si>
  <si>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</si>
  <si>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</si>
  <si>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</si>
  <si>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</si>
  <si>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</si>
  <si>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</si>
  <si>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rocketlake,bios.tigerlake,bios.whiskeylake,ifwi.lunarlake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</si>
  <si>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</si>
  <si>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</si>
  <si>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</si>
  <si>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</si>
  <si>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rocketlake,bios.tigerlake,bios.whiskeylake</t>
  </si>
  <si>
    <t>Verify USB 3.1 Device functionality in End Point, before/after Sx Cycles over TBT Dock</t>
  </si>
  <si>
    <t>CSS-IVE-86872</t>
  </si>
  <si>
    <t>bios.alderlake,bios.amberlake,bios.arrowlake,bios.cannonlake,bios.coffeelake,bios.cometlake,bios.kabylake,bios.kabylake_r,bios.lunarlake,bios.meteorlake,bios.pantherlake,bios.pantherlake-p,bios.raptorlake,bios.raptorlake_refresh,bios.whiskeylake</t>
  </si>
  <si>
    <t>Verify TBT Peer to Peer functionality before/after Sx and reboot cycles</t>
  </si>
  <si>
    <t>CSS-IVE-86874</t>
  </si>
  <si>
    <t>bios.alderlake,bios.amberlake,bios.arrowlake,bios.cannonlake,bios.coffeelake,bios.icelake-client,bios.kabylake,bios.kabylake_r,bios.lunarlake,bios.meteorlake,bios.pantherlake-h,bios.pantherlake-p,bios.pantherlake-u,bios.raptorlake,bios.raptorlake_refresh,bios.rocketlake,bios.tigerlake,bios.whiskeylake,ifwi.amberlake,ifwi.arrowlake,ifwi.cannonlake,ifwi.coffeelake,ifwi.icelake,ifwi.kabylake,ifwi.kabylake_r,ifwi.meteorlake,ifwi.raptorlake_refresh,ifwi.tigerlake,ifwi.tigerlake_refresh,ifwi.whiskeylake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</si>
  <si>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</si>
  <si>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</si>
  <si>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</si>
  <si>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</si>
  <si>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</si>
  <si>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</si>
  <si>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bios.alderlake,bios.amberlake,bios.arrowlake,bios.cannonlake,bios.coffeelake,bios.cometlake,bios.icelake-client,bios.kabylake,bios.kabylake_r,bios.lunarlake,bios.meteorlake,bios.pantherlake,bios.pantherlake-h,bios.pantherlake-p,bios.pantherlake-u,bios.raptorlake,bios.raptorlake_refresh,bios.rocketlake,bios.tigerlake,bios.whiskeylake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</si>
  <si>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</si>
  <si>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</si>
  <si>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</si>
  <si>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</si>
  <si>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bios.alderlake,bios.amberlake,bios.arrowlake,bios.cannonlake,bios.coffeelake,bios.icelake-client,bios.kabylake,bios.kabylake_r,bios.lunarlake,bios.meteorlake,bios.raptorlake,bios.raptorlake_refresh,bios.rocketlake,bios.tigerlake,bios.whiskeylake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</si>
  <si>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</si>
  <si>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</si>
  <si>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</si>
  <si>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</si>
  <si>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bios.alderlake,bios.amberlake,bios.arrowlake,bios.cannonlake,bios.coffeelake,bios.cometlake,bios.icelake-client,bios.kabylake,bios.kabylake_r,bios.lunarlake,bios.meteorlake,bios.pantherlake-h,bios.pantherlake-p,bios.pantherlake-u,bios.raptorlake,bios.raptorlake_refresh,bios.rocketlake,bios.tigerlake,bios.whiskeylake</t>
  </si>
  <si>
    <t>[TBT] Verify TBT-Dock hot-plug functionality (Connected with non-TBT devices)</t>
  </si>
  <si>
    <t>CSS-IVE-86986</t>
  </si>
  <si>
    <t>bios.alderlake,bios.arrowlake,bios.cannonlake,bios.coffeelake,bios.cometlake,bios.icelake-client,bios.kabylake,bios.kabylake_r,bios.lunarlake,bios.meteorlake,bios.raptorlake,bios.raptorlake_refresh,bios.rocketlake,bios.tigerlake,bios.whiskeylake</t>
  </si>
  <si>
    <t>Verify TBT-External Graphics functionality with Integrated Graphics along with non-TBT devices Cross Concurrency</t>
  </si>
  <si>
    <t>CSS-IVE-86993</t>
  </si>
  <si>
    <t>Verify flashing TBT firmware image on TBT controller through TenLira</t>
  </si>
  <si>
    <t>CSS-IVE-83054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</si>
  <si>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</si>
  <si>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</si>
  <si>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</si>
  <si>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</si>
  <si>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</si>
  <si>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</si>
  <si>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bios.alderlake,bios.amberlake,bios.arrowlake,bios.cannonlake,bios.coffeelake,bios.cometlake,bios.kabylake,bios.kabylake_r,bios.lunarlake,bios.meteorlake,bios.pantherlake-h,bios.pantherlake-p,bios.pantherlake-u,bios.raptorlake,bios.raptorlake_refresh,bios.whiskeylake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</si>
  <si>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</si>
  <si>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</si>
  <si>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</si>
  <si>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</si>
  <si>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</si>
  <si>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</si>
  <si>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bios.alderlake,bios.arrowlake,bios.cannonlake,bios.coffeelake,bios.cometlake,bios.icelake-client,bios.kabylake,bios.kabylake_r,bios.lunarlake,bios.meteorlake,bios.raptorlake,bios.raptorlake_refresh,bios.rocketlake,bios.tigerlake,bios.whiskeylake,ifwi.cannonlake,ifwi.coffeelake,ifwi.cometlake,ifwi.icelake,ifwi.kabylake,ifwi.kabylake_r,ifwi.raptorlake_refresh,ifwi.tigerlake,ifwi.whiskeylake</t>
  </si>
  <si>
    <t>[TBT] Verify functionality of TBT-display / TBT-SSD in all security levels</t>
  </si>
  <si>
    <t>CSS-IVE-84586</t>
  </si>
  <si>
    <t>bios.amberlake,bios.cannonlake,bios.coffeelake,bios.cometlake,bios.icelake-client,bios.kabylake,bios.kabylake_r,bios.pantherlake,bios.pantherlake-p,bios.raptorlake,bios.raptorlake_refresh,bios.rocketlake,bios.whiskeylake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</si>
  <si>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</si>
  <si>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</si>
  <si>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</si>
  <si>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</si>
  <si>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bios.alderlake,bios.arrowlake,bios.cannonlake,bios.coffeelake,bios.cometlake,bios.icelake-client,bios.kabylake,bios.kabylake_r,bios.lunarlake,bios.meteorlake,bios.raptorlake,bios.raptorlake_refresh,bios.tigerlake,bios.whiskeylake</t>
  </si>
  <si>
    <t>Verify Client SUT Battery charging via TBT port (Producer Mode)</t>
  </si>
  <si>
    <t>CSS-IVE-87030</t>
  </si>
  <si>
    <t>bios.alderlake,bios.arrowlake,bios.cannonlake,bios.coffeelake,bios.cometlake,bios.icelake-client,bios.kabylake_r,bios.lunarlake,bios.meteorlake,bios.raptorlake,bios.raptorlake_refresh,bios.tigerlake,bios.whiskeylake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</si>
  <si>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</si>
  <si>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</si>
  <si>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</si>
  <si>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</si>
  <si>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bios.alderlake,bios.amberlake,bios.cannonlake,bios.coffeelake,bios.cometlake,bios.icelake-client,bios.kabylake,bios.kabylake_r,bios.raptorlake,bios.raptorlake_refresh,bios.rocketlake,bios.whiskeylake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</si>
  <si>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</si>
  <si>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</si>
  <si>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</si>
  <si>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</si>
  <si>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</si>
  <si>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</si>
  <si>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</si>
  <si>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</si>
  <si>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</si>
  <si>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</si>
  <si>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</si>
  <si>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</si>
  <si>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</si>
  <si>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</si>
  <si>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</si>
  <si>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</si>
  <si>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</si>
  <si>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</si>
  <si>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bios.alderlake,bios.amberlake,bios.arrowlake,bios.cannonlake,bios.coffeelake,bios.cometlake,bios.icelake-client,bios.kabylake,bios.kabylake_r,bios.lunarlake,bios.meteorlake,bios.pantherlake,bios.pantherlake-h,bios.pantherlake-p,bios.pantherlake-u,bios.raptorlake,bios.raptorlake_refresh,bios.rocketlake,bios.tigerlake,bios.whiskeylake,ifwi.amberlake,ifwi.cannonlake,ifwi.coffeelake,ifwi.cometlake,ifwi.icelake,ifwi.kabylake,ifwi.kabylake_r,ifwi.raptorlake_refresh,ifwi.tigerlake,ifwi.tigerlake_refresh,ifwi.whiskeylake</t>
  </si>
  <si>
    <t>[TBT] Verify combination of TBT Peer to Peer and TBT Tree configuration on 1 SUT with Cold/Hot Plug</t>
  </si>
  <si>
    <t>CSS-IVE-100071</t>
  </si>
  <si>
    <t>bios.alderlake,bios.arrowlake,bios.cannonlake,bios.coffeelake,bios.cometlake,bios.icelake-client,bios.kabylake_r,bios.lunarlake,bios.meteorlake,bios.pantherlake,bios.pantherlake-p,bios.raptorlake,bios.raptorlake_refresh,bios.rocketlake,bios.tigerlake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</si>
  <si>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</si>
  <si>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</si>
  <si>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</si>
  <si>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</si>
  <si>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</si>
  <si>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</si>
  <si>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</si>
  <si>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</si>
  <si>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bios.alderlake,bios.arrowlake,bios.cannonlake,bios.coffeelake,bios.cometlake,bios.geminilake,bios.icelake-client,bios.jasperlake,bios.kabylake_r,bios.lakefield,bios.lunarlake,bios.meteorlake,bios.raptorlake,bios.raptorlake_refresh,bios.rocketlake,bios.tigerlake,bios.whiskeylake,ifwi.cannonlake,ifwi.coffeelake,ifwi.cometlake,ifwi.geminilake,ifwi.icelake,ifwi.kabylake_r,ifwi.lakefield,ifwi.raptorlake_refresh,ifwi.tigerlake,ifwi.whiskeylake</t>
  </si>
  <si>
    <t>Verify Concurrent functionality of Legacy USB and HDMI Display over Type-C and device connected when SUT is in Sx (S3,S4,S5)_x000D_
 state</t>
  </si>
  <si>
    <t>CSS-IVE-100962</t>
  </si>
  <si>
    <t>bios.alderlake,bios.arrowlake,bios.cannonlake,bios.coffeelake,bios.cometlake,bios.geminilake,bios.icelake-client,bios.jasperlake,bios.kabylake_r,bios.lakefield,bios.lunarlake,bios.meteorlake,bios.raptorlake,bios.raptorlake_refresh,bios.rocketlake,bios.tigerlake,bios.whiskeylake</t>
  </si>
  <si>
    <t>Verify Concurrent functionality of Legacy USB and Type-C to Type-C Display and device connected when SUT is in Sx (S3,S4,S5) state</t>
  </si>
  <si>
    <t>CSS-IVE-100964</t>
  </si>
  <si>
    <t>bios.alderlake,bios.arrowlake,bios.cannonlake,bios.coffeelake,bios.cometlake,bios.geminilake,bios.icelake-client,bios.jasperlake,bios.kabylake_r,bios.lunarlake,bios.meteorlake,bios.pantherlake,bios.pantherlake-p,bios.raptorlake,bios.raptorlake_refresh,bios.rocketlake,bios.tigerlake,bios.whiskeylake</t>
  </si>
  <si>
    <t>Verify Type-C Display functionality in Pre/Post S3,S4,S5 and reboot cycles</t>
  </si>
  <si>
    <t>CSS-IVE-100969</t>
  </si>
  <si>
    <t>bios.alderlake,bios.amberlake,bios.apollolake,bios.arrowlake,bios.cannonlake,bios.cometlake,bios.geminilake,bios.icelake-client,bios.jasperlake,bios.kabylake,bios.kabylake_r,bios.lakefield,bios.lunarlake,bios.meteorlake,bios.raptorlake,bios.raptorlake_refresh,bios.rocketlake,bios.tigerlake</t>
  </si>
  <si>
    <t>Validate system performs S4 and S5 cycles with "10Sec power button OVR" enabled in Bios with system in AC mode</t>
  </si>
  <si>
    <t>CSS-IVE-100993</t>
  </si>
  <si>
    <t>bios.alderlake,bios.amberlake,bios.arrowlake,bios.cannonlake,bios.coffeelake,bios.cometlake,bios.icelake-client,bios.kabylake,bios.kabylake_r,bios.lunarlake,bios.meteorlake,bios.raptorlake,bios.rocketlake,bios.tigerlake,bios.whiskeylake,ifwi.amberlake,ifwi.cannonlake,ifwi.coffeelake,ifwi.cometlake,ifwi.icelake,ifwi.kabylake,ifwi.kabylake_r,ifwi.tigerlake,ifwi.whiskeylake</t>
  </si>
  <si>
    <t>Verify system performs Sx cycle successfully irrespective of EC Low power mode option in Bios</t>
  </si>
  <si>
    <t>CSS-IVE-100997</t>
  </si>
  <si>
    <t>bios.alderlake,bios.amberlake,bios.arrowlake,bios.cannonlake,bios.cometlake,bios.geminilake,bios.icelake-client,bios.jasperlake,bios.kabylake,bios.kabylake_r,bios.lunarlake,bios.meteorlake,bios.raptorlake,bios.rocketlake,bios.tigerlake,bios.whiskeylake,ifwi.amberlake,ifwi.cannonlake,ifwi.cometlake,ifwi.geminilake,ifwi.icelake,ifwi.kabylake,ifwi.kabylake_r,ifwi.tigerlake,ifwi.whiskeylake</t>
  </si>
  <si>
    <t>Verify Sx(S3, S4 and S5) Cycle with C-state disable in bios</t>
  </si>
  <si>
    <t>CSS-IVE-101023</t>
  </si>
  <si>
    <t>bios.alderlake,bios.amberlake,bios.apollolake,bios.arrowlake,bios.cannonlake,bios.cometlake,bios.geminilake,bios.icelake-client,bios.kabylake,bios.kabylake_r,bios.lunarlake,bios.meteorlake,bios.raptorlake,bios.raptorlake_refresh,bios.rocketlake,bios.tigerlake,bios.whiskeylake</t>
  </si>
  <si>
    <t>Verify S3 and S4 Cycle with Keyboard and mouse connected to USB external HUB in AC mode</t>
  </si>
  <si>
    <t>CSS-IVE-101027</t>
  </si>
  <si>
    <t>bios.alderlake,bios.amberlake,bios.apollolake,bios.arrowlake,bios.cannonlake,bios.cometlake,bios.geminilake,bios.icelake-client,bios.jasperlake,bios.kabylake,bios.kabylake_r,bios.lunarlake,bios.meteorlake,bios.raptorlake,bios.tigerlake,bios.whiskeylake</t>
  </si>
  <si>
    <t>Verify Type-C Concurrent support of x2 DP and USB3 on hot-plug after Connected Modern Standby states</t>
  </si>
  <si>
    <t>CSS-IVE-101069</t>
  </si>
  <si>
    <t>bios.alderlake,bios.arrowlake,bios.cannonlake,bios.coffeelake,bios.geminilake,bios.icelake-client,bios.jasperlake,bios.kabylake_r,bios.lunarlake,bios.meteorlake,bios.raptorlake,bios.raptorlake_refresh,bios.rocketlake,bios.tigerlake,bios.whiskeylake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</si>
  <si>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</si>
  <si>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</si>
  <si>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</si>
  <si>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</si>
  <si>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bios.alderlake,bios.arrowlake,bios.cannonlake,bios.coffeelake,bios.geminilake,bios.icelake-client,bios.jasperlake,bios.kabylake_r,bios.lakefield,bios.lunarlake,bios.meteorlake,bios.pantherlake,bios.pantherlake-h,bios.pantherlake-p,bios.pantherlake-u,bios.raptorlake,bios.raptorlake_refresh,bios.rocketlake,bios.tigerlake,bios.whiskeylake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</si>
  <si>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</si>
  <si>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</si>
  <si>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</si>
  <si>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</si>
  <si>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bios.alderlake,bios.cannonlake,bios.coffeelake,bios.cometlake,bios.geminilake,bios.icelake-client,bios.jasperlake,bios.kabylake_r,bios.lakefield,bios.raptorlake,bios.raptorlake_refresh,bios.rocketlake,bios.tigerlake,bios.whiskeylake</t>
  </si>
  <si>
    <t>Verify Type-C Concurrent support of x2 DP and USB3, device connected when SUT is in Deep Sx state</t>
  </si>
  <si>
    <t>CSS-IVE-101067</t>
  </si>
  <si>
    <t>bios.alderlake,bios.arrowlake,bios.cannonlake,bios.coffeelake,bios.icelake-client,bios.jasperlake,bios.kabylake_r,bios.lunarlake,bios.meteorlake,bios.raptorlake,bios.raptorlake_refresh,bios.rocketlake,bios.whiskeylake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</si>
  <si>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</si>
  <si>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</si>
  <si>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</si>
  <si>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</si>
  <si>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bios.alderlake,bios.arrowlake,bios.cannonlake,bios.coffeelake,bios.cometlake,bios.geminilake,bios.icelake-client,bios.jasperlake,bios.kabylake_r,bios.lunarlake,bios.meteorlake,bios.raptorlake,bios.raptorlake_refresh,bios.rocketlake,bios.tigerlake,bios.whiskeylake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</si>
  <si>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</si>
  <si>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</si>
  <si>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</si>
  <si>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</si>
  <si>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</si>
  <si>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</si>
  <si>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</si>
  <si>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</si>
  <si>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bios.alderlake,bios.arrowlake,bios.cannonlake,bios.coffeelake,bios.geminilake,bios.icelake-client,bios.jasperlake,bios.kabylake_r,bios.lakefield,bios.lunarlake,bios.meteorlake,bios.raptorlake,bios.raptorlake_refresh,bios.rocketlake,bios.tigerlake,bios.whiskeylake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</si>
  <si>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</si>
  <si>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</si>
  <si>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</si>
  <si>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</si>
  <si>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bios.alderlake,bios.amberlake,bios.arrowlake,bios.cannonlake,bios.coffeelake,bios.cometlake,bios.geminilake,bios.icelake-client,bios.jasperlake,bios.kabylake_r,bios.lakefield,bios.lunarlake,bios.meteorlake,bios.raptorlake,bios.rocketlake,bios.tigerlake,bios.whiskeylake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</si>
  <si>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</si>
  <si>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</si>
  <si>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</si>
  <si>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</si>
  <si>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</si>
  <si>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</si>
  <si>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</si>
  <si>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</si>
  <si>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</si>
  <si>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</si>
  <si>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</si>
  <si>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</si>
  <si>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</si>
  <si>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</si>
  <si>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</si>
  <si>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</si>
  <si>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</si>
  <si>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</si>
  <si>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</si>
  <si>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</si>
  <si>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</si>
  <si>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</si>
  <si>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</si>
  <si>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</si>
  <si>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</si>
  <si>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</si>
  <si>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</si>
  <si>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</si>
  <si>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</si>
  <si>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</si>
  <si>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</si>
  <si>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</si>
  <si>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</si>
  <si>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</si>
  <si>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</si>
  <si>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</si>
  <si>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</si>
  <si>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</si>
  <si>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</si>
  <si>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</si>
  <si>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</si>
  <si>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</si>
  <si>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</si>
  <si>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</si>
  <si>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</si>
  <si>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</si>
  <si>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</si>
  <si>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</si>
  <si>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bios.alderlake,bios.arrowlake,bios.cannonlake,bios.coffeelake,bios.cometlake,bios.geminilake,bios.icelake-client,bios.jasperlake,bios.kabylake_r,bios.lakefield,bios.lunarlake,bios.meteorlake,bios.raptorlake,bios.raptorlake_refresh,bios.rocketlake,bios.tigerlake,bios.whiskeylake,ifwi.cannonlake,ifwi.coffeelake,ifwi.cometlake,ifwi.geminilake,ifwi.icelake,ifwi.kabylake_r,ifwi.lakefield,ifwi.lunarlake,ifwi.raptorlake_refresh,ifwi.tigerlake,ifwi.whiskeylake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</si>
  <si>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</si>
  <si>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</si>
  <si>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</si>
  <si>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</si>
  <si>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</si>
  <si>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</si>
  <si>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</si>
  <si>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</si>
  <si>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</si>
  <si>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</si>
  <si>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Validate Discrete BT device for RTD3 support</t>
  </si>
  <si>
    <t>CSS-IVE-101247</t>
  </si>
  <si>
    <t>Verify Dual Controller Support - TBT3 Storage functionality after cold boot</t>
  </si>
  <si>
    <t>CSS-IVE-101261</t>
  </si>
  <si>
    <t>bios.alderlake,bios.arrowlake,bios.icelake-client,bios.meteorlake,bios.pantherlake-h,bios.pantherlake-p,bios.pantherlake-u,bios.raptorlake,bios.raptorlake_refresh,bios.tigerlake</t>
  </si>
  <si>
    <t>Verify Dual Controller Support - TBT3 Storage functionality on Hot-Plug</t>
  </si>
  <si>
    <t>CSS-IVE-101262</t>
  </si>
  <si>
    <t>bios.alderlake,bios.arrowlake,bios.icelake-client,bios.meteorlake,bios.pantherlake,bios.pantherlake-p,bios.raptorlake,bios.raptorlake_refresh,bios.tigerlake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</si>
  <si>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</si>
  <si>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</si>
  <si>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</si>
  <si>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</si>
  <si>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</si>
  <si>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</si>
  <si>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CNVi Wi-Fi/BT do not enumerate in OS with CNVi option Disabled in BIOS</t>
  </si>
  <si>
    <t>CSS-IVE-101273</t>
  </si>
  <si>
    <t>Verify AET trace log capture through NPK</t>
  </si>
  <si>
    <t>CSS-IVE-101301</t>
  </si>
  <si>
    <t>bios.alderlake,bios.arrowlake,bios.cannonlake,bios.coffeelake,bios.cometlake,bios.icelake-client,bios.jasperlake,bios.lakefield,bios.lunarlake,bios.meteorlake,bios.pantherlake,bios.pantherlake-h,bios.pantherlake-p,bios.pantherlake-u,bios.raptorlake,bios.raptorlake_refresh,bios.rocketlake,bios.tigerlake,bios.whiskeylake</t>
  </si>
  <si>
    <t>Verify Package C10 Residency post Hibernation</t>
  </si>
  <si>
    <t>CSS-IVE-101379</t>
  </si>
  <si>
    <t>bios.alderlake,bios.amber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skylake,bios.tigerlake,bios.whiskeylake,ifwi.alderlake,ifwi.amberlake,ifwi.broxton,ifwi.cannonlake,ifwi.coffeelake,ifwi.cometlake,ifwi.geminilake,ifwi.icelake,ifwi.kabylake,ifwi.kabylake_r,ifwi.lakefield,ifwi.raptorlake_refresh,ifwi.rocketlake,ifwi.skylake,ifwi.tigerlake,ifwi.tigerlake_refresh,ifwi.whiskeylake</t>
  </si>
  <si>
    <t>Verify multiple display output functionality over different Type-C/TBT Port on Cold plug - 2 TBT Displays</t>
  </si>
  <si>
    <t>CSS-IVE-101408</t>
  </si>
  <si>
    <t>bios.alderlake,bios.arrowlake,bios.cannonlake,bios.coffeelake,bios.cometlake,bios.icelake-client,bios.lunarlake,bios.meteorlake,bios.pantherlake,bios.pantherlake-h,bios.pantherlake-p,bios.pantherlake-u,bios.raptorlake,bios.raptorlake_refresh,bios.rocketlake,bios.tigerlake,bios.whiskeylake,ifwi.cannonlake,ifwi.coffeelake,ifwi.cometlake,ifwi.icelake,ifwi.raptorlake_refresh,ifwi.tigerlake,ifwi.whiskeylake</t>
  </si>
  <si>
    <t>Verify multiple display output functionality over different Type-C/TBT port on Cold plug - TBT, Type-C Display</t>
  </si>
  <si>
    <t>CSS-IVE-101420</t>
  </si>
  <si>
    <t>bios.alderlake,bios.arrowlake,bios.cannonlake,bios.coffeelake,bios.cometlake,bios.icelake-client,bios.lunarlake,bios.meteorlake,bios.raptorlake,bios.raptorlake_refresh,bios.rocketlake,bios.tigerlake,bios.whiskeylake,ifwi.cannonlake,ifwi.coffeelake,ifwi.cometlake,ifwi.icelake,ifwi.raptorlake_refresh,ifwi.tigerlake,ifwi.whiskeylake</t>
  </si>
  <si>
    <t>Verify multiple display output functionality over different Type-C/TBT port after Sx and reboot cycles - DP, HDMI display</t>
  </si>
  <si>
    <t>CSS-IVE-101427</t>
  </si>
  <si>
    <t>bios.alderlake,bios.arrowlake,bios.cannonlake,bios.coffeelake,bios.cometlake,bios.icelake-client,bios.lunarlake,bios.meteorlake,bios.raptorlake,bios.raptorlake_refresh,bios.rocketlake,bios.tigerlake,bios.whiskeylake</t>
  </si>
  <si>
    <t>[TBT] Verify multiple display output when displays connected with 2nd TBT controller / different TBT Port on Hot plug - TBT, HDMI Display</t>
  </si>
  <si>
    <t>CSS-IVE-101439</t>
  </si>
  <si>
    <t>bios.alderlake,bios.arrowlake,bios.icelake-client,bios.lunarlake,bios.meteorlake,bios.pantherlake,bios.pantherlake-p,bios.raptorlake,bios.raptorlake_refresh,bios.tigerlake,ifwi.icelake,ifwi.raptorlake_refresh,ifwi.tigerlake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</si>
  <si>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</si>
  <si>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</si>
  <si>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</si>
  <si>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</si>
  <si>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bios.alderlake,bios.arrowlake,bios.icelake-client,bios.lunarlake,bios.meteorlake,bios.pantherlake,bios.pantherlake-p,bios.raptorlake,bios.raptorlake_refresh,bios.tigerlake</t>
  </si>
  <si>
    <t>[TBT] Verify multiple display output when displays connected with dual TBT controller after S4, S5 and reboot cycles - DP, HDMI display</t>
  </si>
  <si>
    <t>CSS-IVE-101471</t>
  </si>
  <si>
    <t>bios.alderlake,bios.arrowlake,bios.icelake-client,bios.lunarlake,bios.meteorlake,bios.pantherlake,bios.pantherlake-h,bios.pantherlake-p,bios.pantherlake-u,bios.raptorlake,bios.raptorlake_refresh,bios.tigerlake</t>
  </si>
  <si>
    <t>Verify Dual Controller Support - USB2.0 Disk functionality after cold boot</t>
  </si>
  <si>
    <t>CSS-IVE-101369</t>
  </si>
  <si>
    <t>bios.platform,bios.sa,fw.ifwi.MGPhy,fw.ifwi.dekelPhy,fw.ifwi.iom,fw.ifwi.nphy,fw.ifwi.pmc,fw.ifwi.sphy,fw.ifwi.tbt</t>
  </si>
  <si>
    <t>bios.alderlake,bios.arrowlake,bios.icelake-client,bios.lunarlake,bios.meteorlake,bios.pantherlake,bios.pantherlake-p,bios.raptorlake,bios.raptorlake_refresh,bios.tigerlake,ifwi.arrowlake,ifwi.icelake,ifwi.lunarlake,ifwi.meteorlake,ifwi.raptorlake,ifwi.raptorlake_refresh,ifwi.tigerlake</t>
  </si>
  <si>
    <t>Verify Dual Controller Support - USB2.0 Disk functionality on Hot-Plug</t>
  </si>
  <si>
    <t>CSS-IVE-101371</t>
  </si>
  <si>
    <t>bios.alderlake,bios.arrowlake,bios.icelake-client,bios.meteorlake,bios.pantherlake,bios.pantherlake-p,bios.raptorlake,bios.raptorlake_refresh,bios.tigerlake,ifwi.arrowlake,ifwi.icelake,ifwi.lunarlake,ifwi.meteorlake,ifwi.raptorlake,ifwi.raptorlake_refresh,ifwi.tigerlake</t>
  </si>
  <si>
    <t>Verify Dual Controller Support - USB3.1 Gen2 storage functionality after Sx and reboot cycles</t>
  </si>
  <si>
    <t>CSS-IVE-101376</t>
  </si>
  <si>
    <t>Verify Type-C multi port functionality - WinDBG,TBT-Display,TBT-SSD, TBT-Dock before/after Sx (S3,S4,S5) and reboot state</t>
  </si>
  <si>
    <t>CSS-IVE-101387</t>
  </si>
  <si>
    <t>bios.alderlake,bios.arrowlake,bios.icelake-client,bios.lunarlake,bios.meteorlake,bios.pantherlake,bios.pantherlake-p,bios.raptorlake,bios.raptorlake_refresh,bios.rocketlake,bios.tigerlake</t>
  </si>
  <si>
    <t>Verify Dual Controller Support - USB3.0/USB3.1 Gen1 storage functionality on Hot-Plug</t>
  </si>
  <si>
    <t>CSS-IVE-101374</t>
  </si>
  <si>
    <t>Verify Type-C multi port functionality - WinDBG,TBT-Display,TBT-SSD, TBT-Dock on Cold Plug</t>
  </si>
  <si>
    <t>CSS-IVE-101385</t>
  </si>
  <si>
    <t>Verify multiple display output functionality over different Type-C/TBT port on Cold plug - TBT, HDMI Display</t>
  </si>
  <si>
    <t>CSS-IVE-101406</t>
  </si>
  <si>
    <t>bios.alderlake,bios.arrowlake,bios.cannonlake,bios.coffeelake,bios.cometlake,bios.icelake-client,bios.lunarlake,bios.meteorlake,bios.pantherlake,bios.pantherlake-p,bios.raptorlake,bios.raptorlake_refresh,bios.rocketlake,bios.tigerlake,bios.whiskeylake,ifwi.cannonlake,ifwi.coffeelake,ifwi.cometlake,ifwi.icelake,ifwi.raptorlake_refresh,ifwi.tigerlake,ifwi.whiskeylake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</si>
  <si>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</si>
  <si>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</si>
  <si>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</si>
  <si>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</si>
  <si>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</si>
  <si>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</si>
  <si>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bios.alderlake,bios.arrowlake,bios.cannonlake,bios.coffeelake,bios.cometlake,bios.icelake-client,bios.meteorlake,bios.raptorlake,bios.raptorlake_refresh,bios.rocketlake,bios.tigerlake,bios.whiskeylake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</si>
  <si>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</si>
  <si>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</si>
  <si>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</si>
  <si>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</si>
  <si>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</si>
  <si>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</si>
  <si>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</si>
  <si>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</si>
  <si>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</si>
  <si>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</si>
  <si>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</si>
  <si>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</si>
  <si>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bios.alderlake,bios.arrowlake,bios.icelake-client,bios.lunarlake,bios.meteorlake,bios.pantherlake-h,bios.pantherlake-p,bios.pantherlake-u,bios.raptorlake,bios.raptorlake_refresh,bios.tigerlake,ifwi.icelake,ifwi.lunarlake,ifwi.raptorlake_refresh,ifwi.tigerlake</t>
  </si>
  <si>
    <t>Verify USB2 DbC Functionality in low power state</t>
  </si>
  <si>
    <t>CSS-IVE-101317</t>
  </si>
  <si>
    <t>bios.alderlake,bios.arrowlake,bios.cannonlake,bios.coffeelake,bios.cometlake,bios.icelake-client,bios.jasperlake,bios.lakefield,bios.lunarlake,bios.meteorlake,bios.raptorlake,bios.raptorlake_refresh,bios.rocketlake,bios.tigerlake,bios.whiskeylake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</si>
  <si>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</si>
  <si>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</si>
  <si>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</si>
  <si>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</si>
  <si>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</si>
  <si>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</si>
  <si>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</si>
  <si>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</si>
  <si>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</si>
  <si>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</si>
  <si>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bios.alderlake,bios.arrowlake,bios.cannonlake,bios.coffeelake,bios.cometlake,bios.icelake-client,bios.lunarlake,bios.meteorlake,bios.pantherlake,bios.pantherlake-p,bios.raptorlake,bios.raptorlake_refresh,bios.rocketlake,bios.tigerlake,bios.whiskeylake,ifwi.arrowlake,ifwi.cannonlake,ifwi.coffeelake,ifwi.cometlake,ifwi.icelake,ifwi.meteorlake,ifwi.raptorlake_refresh,ifwi.tigerlake,ifwi.whiskeylake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</si>
  <si>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</si>
  <si>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</si>
  <si>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</si>
  <si>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</si>
  <si>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</si>
  <si>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</si>
  <si>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bios.alderlake,bios.arrowlake,bios.icelake-client,bios.lunarlake,bios.meteorlake,bios.raptorlake,bios.raptorlake_refresh,bios.tigerlake,ifwi.icelake,ifwi.raptorlake_refresh,ifwi.tigerlake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</si>
  <si>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</si>
  <si>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</si>
  <si>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</si>
  <si>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</si>
  <si>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</si>
  <si>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</si>
  <si>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</si>
  <si>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</si>
  <si>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</si>
  <si>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</si>
  <si>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meteorlake,ifwi.raptorlake_refresh,ifwi.tigerlake,ifwi.whiskeylake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</si>
  <si>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</si>
  <si>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</si>
  <si>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</si>
  <si>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</si>
  <si>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</si>
  <si>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</si>
  <si>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</si>
  <si>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</si>
  <si>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</si>
  <si>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</si>
  <si>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</si>
  <si>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</si>
  <si>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</si>
  <si>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</si>
  <si>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bios.alderlake,bios.arrowlake,bios.icelake-client,bios.lunarlake,bios.meteorlake,bios.pantherlake,bios.pantherlake-p,bios.raptorlake,bios.raptorlake_refresh,bios.tigerlake,ifwi.icelake,ifwi.lunarlake,ifwi.raptorlake_refresh,ifwi.tigerlake</t>
  </si>
  <si>
    <t>Verify multiple display output when displays connected with dual TBT controller on Hot plug - DP, HDMI display</t>
  </si>
  <si>
    <t>CSS-IVE-101463</t>
  </si>
  <si>
    <t>bios.alderlake,bios.arrowlake,bios.icelake-client,bios.lunarlake,bios.meteorlake,bios.pantherlake,bios.pantherlake-h,bios.pantherlake-p,bios.pantherlake-u,bios.raptorlake,bios.raptorlake_refresh,bios.tigerlake,ifwi.icelake,ifwi.lunarlake,ifwi.raptorlake_refresh,ifwi.tigerlake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</si>
  <si>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</si>
  <si>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</si>
  <si>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</si>
  <si>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</si>
  <si>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</si>
  <si>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</si>
  <si>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</si>
  <si>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</si>
  <si>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</si>
  <si>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</si>
  <si>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</si>
  <si>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</si>
  <si>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</si>
  <si>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</si>
  <si>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</si>
  <si>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</si>
  <si>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</si>
  <si>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</si>
  <si>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</si>
  <si>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</si>
  <si>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</si>
  <si>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</si>
  <si>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</si>
  <si>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</si>
  <si>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Type-C multi port functionality - WinDBG,TBT-Display,TBT-SSD, TBT-Dock on Hot Plug</t>
  </si>
  <si>
    <t>CSS-IVE-101386</t>
  </si>
  <si>
    <t>Verify Discrete Wi-Fi Functionality with CNVi option Enabled in BIOS</t>
  </si>
  <si>
    <t>CSS-IVE-101552</t>
  </si>
  <si>
    <t>Verify SMBIOS 3.0 Support</t>
  </si>
  <si>
    <t>CSS-IVE-80025</t>
  </si>
  <si>
    <t>bios.alderlake,bios.amberlake,bios.apollolake,bios.arrowlake,bios.cannonlake,bios.coffeelake,bios.cometlake,bios.geminilake,bios.jasperlake,bios.kabylake,bios.kabylake_r,bios.lakefield,bios.meteorlake,bios.raptorlake,bios.raptorlake_refresh,bios.rocketlake,bios.tigerlake,bios.whiskeylake</t>
  </si>
  <si>
    <t>BIOS should update the changes for SMBIOS type 32 [System boot Information]</t>
  </si>
  <si>
    <t>CSS-IVE-101595</t>
  </si>
  <si>
    <t>bios.alderlake,bios.amber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</si>
  <si>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BIOS should update the changes for SMBIOS type 9 [System Slots]</t>
  </si>
  <si>
    <t>CSS-IVE-101597</t>
  </si>
  <si>
    <t>Verify the Wake-up Type under SMBIOS Type 1</t>
  </si>
  <si>
    <t>CSS-IVE-101598</t>
  </si>
  <si>
    <t>bios.alderlake,bios.amber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</si>
  <si>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BIOS shall send the DRAM_INIT_DONE message &amp; complete GFX initialization before getting the boot options</t>
  </si>
  <si>
    <t>CSS-IVE-102063</t>
  </si>
  <si>
    <t>bios.alderlake,bios.amberlake,bios.arrowlake,bios.cannonlake,bios.cometlake,bios.kabylake,bios.kabylake_r,bios.lunarlake,bios.meteorlake,bios.pantherlake,bios.pantherlake-p,bios.raptorlake,bios.rocketlake,bios.tigerlake</t>
  </si>
  <si>
    <t>BIOS Hotkey combination (CTRL-ALT-F1) should not display by the BIOS during KVM/SoL session and while Intel  AMT is disabled</t>
  </si>
  <si>
    <t>CSS-IVE-102139</t>
  </si>
  <si>
    <t>bios.alderlake,bios.arrowlake,bios.lunarlake,bios.meteorlake,bios.pantherlake,bios.pantherlake-p,bios.raptorlake,ifwi.amberlake,ifwi.cannonlake,ifwi.coffeelake,ifwi.cometlake,ifwi.kabylake,ifwi.kabylake_r,ifwi.tigerlake,ifwi.whiskeylake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</si>
  <si>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</si>
  <si>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</si>
  <si>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</si>
  <si>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</si>
  <si>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system wakes from Hibernate state with "Low Power S0 Idle Capability" enabled</t>
  </si>
  <si>
    <t>CSS-IVE-101820</t>
  </si>
  <si>
    <t>bios.alderlake,bios.amberlake,bios.arrowlake,bios.cannonlake,bios.cometlake,bios.icelake-client,bios.jasperlake,bios.kabylake,bios.kabylake_r,bios.lunarlake,bios.meteorlake,bios.raptorlake,bios.raptorlake_refresh,bios.tigerlake,ifwi.amberlake,ifwi.cannonlake,ifwi.cometlake,ifwi.icelake,ifwi.kabylake,ifwi.kabylake_r,ifwi.raptorlake_refresh,ifwi.tigerlake</t>
  </si>
  <si>
    <t>ISH Sensor Functionality pre and post S3 cycle - Altimeter</t>
  </si>
  <si>
    <t>CSS-IVE-102207</t>
  </si>
  <si>
    <t>bios.pch,bios.platform,fw.ifwi.ish</t>
  </si>
  <si>
    <t>bios.alderlake,bios.arrowlake,bios.lunarlake,bios.meteorlake,bios.raptorlake,ifwi.cometlake,ifwi.icelake,ifwi.tigerlake,ifwi.whiskeylake</t>
  </si>
  <si>
    <t>ISH Sensor Functionality post S4 cycle - Altimeter</t>
  </si>
  <si>
    <t>CSS-IVE-102208</t>
  </si>
  <si>
    <t>bios.alderlake,bios.arrowlake,bios.lunarlake,bios.meteorlake,bios.raptorlake,ifwi.cometlake,ifwi.icelake,ifwi.lakefield,ifwi.raptorlake,ifwi.tigerlake,ifwi.whiskeylake</t>
  </si>
  <si>
    <t>ISH Sensor Functionality post S5 cycle - Altimeter</t>
  </si>
  <si>
    <t>CSS-IVE-102209</t>
  </si>
  <si>
    <t>Verify RTD3 flow support for XDCI controller</t>
  </si>
  <si>
    <t>CSS-IVE-102434</t>
  </si>
  <si>
    <t>bios.alderlake,bios.amberlake,bios.arrowlake,bios.cannonlake,bios.coffeelake,bios.cometlake,bios.kabylake,bios.kabylake_r,bios.lakefield,bios.lunarlake,bios.meteorlake,bios.pantherlake,bios.pantherlake-p,bios.raptorlake,bios.rocketlake,bios.tigerlake,bios.whiskeylake</t>
  </si>
  <si>
    <t>Verify RTD3 flow support for USB pendrive connected over USB3.0 port</t>
  </si>
  <si>
    <t>CSS-IVE-102442</t>
  </si>
  <si>
    <t>bios.alderlake,bios.arrowlake,bios.cannonlake,bios.coffeelake,bios.cometlake,bios.icelake-client,bios.jasperlake,bios.kabylake_r,bios.lunarlake,bios.meteorlake,bios.pantherlake,bios.pantherlake-p,bios.raptorlake,bios.rocketlake,bios.tigerlake,bios.whiskeylake,ifwi.arrowlake,ifwi.meteorlake</t>
  </si>
  <si>
    <t>Verify Connect/Disconnect Wi-Fi Hotspot in OS</t>
  </si>
  <si>
    <t>CSS-IVE-102506</t>
  </si>
  <si>
    <t>bios.alderlake,bios.arrowlake,bios.cannonlake,bios.coffeelake,bios.cometlake,bios.icelake-client,bios.jasperlake,bios.kabylake_r,bios.lakefield,bios.lunarlake,bios.meteorlake,bios.raptorlake,bios.raptorlake_refresh,bios.rocketlake,bios.tigerlake,bios.whiskeylake</t>
  </si>
  <si>
    <t>Verify BIOS enables ISH Trunk Clock gating</t>
  </si>
  <si>
    <t>CSS-IVE-86380</t>
  </si>
  <si>
    <t>bios.alderlake,bios.arrowlake,bios.icelake-client,bios.kabylake,bios.lakefield,bios.lunarlake,bios.meteorlake,bios.pantherlake,bios.pantherlake-p,bios.raptorlake,bios.rocketlake,bios.tigerlake</t>
  </si>
  <si>
    <t>Verify SUT support Debug Trace log capture - Route traces to System Memory</t>
  </si>
  <si>
    <t>CSS-IVE-103720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</si>
  <si>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,ifwi.arrowlake,ifwi.cannonlake,ifwi.coffeelake,ifwi.cometlake,ifwi.icelake,ifwi.lakefield,ifwi.lunarlake,ifwi.meteorlake,ifwi.raptorlake,ifwi.tigerlake,ifwi.whiskeylake</t>
  </si>
  <si>
    <t>Verify USB3.1 DbC Functionality during and after BIOS boot</t>
  </si>
  <si>
    <t>CSS-IVE-103778</t>
  </si>
  <si>
    <t>bios.alderlake,bios.arrowlake,bios.cannonlake,bios.coffeelake,bios.cometlake,bios.icelake-client,bios.jasperlake,bios.lakefield,bios.lunarlake,bios.meteorlake,bios.raptorlake,bios.raptorlake_refresh,bios.tigerlake,bios.whiskeylake,ifwi.cannonlake,ifwi.coffeelake,ifwi.cometlake,ifwi.icelake,ifwi.lakefield,ifwi.tigerlake,ifwi.whiskeylake</t>
  </si>
  <si>
    <t>Verify Discrete Bluetooth device function test on OS pre and post Connected Standby (CMS) cycle</t>
  </si>
  <si>
    <t>CSS-IVE-105404</t>
  </si>
  <si>
    <t>bios.alderlake,bios.arrowlake,bios.cannonlake,bios.coffeelake,bios.cometlake,bios.icelake-client,bios.jasperlake,bios.kabylake_r,bios.lakefield,bios.lunarlake,bios.meteorlake,bios.pantherlake,bios.pantherlake-p,bios.raptorlake,bios.raptorlake_refresh,bios.rocketlake,bios.tigerlake,bios.whiskeylake</t>
  </si>
  <si>
    <t>Verify CNVi Bluetooth Enumeration in OS before / after Connected Standby (CMS) cycle</t>
  </si>
  <si>
    <t>CSS-IVE-105405</t>
  </si>
  <si>
    <t>bios.alderlake,bios.arrowlake,bios.cannonlake,bios.coffeelake,bios.cometlake,bios.icelake-client,bios.jasperlake,bios.lunarlake,bios.meteorlake,bios.raptorlake,bios.raptorlake_refresh,bios.rocketlake,bios.tigerlake,bios.whiskeylake</t>
  </si>
  <si>
    <t>Verify CNVi Bluetooth Functionality in OS before / after Connected Standby (CMS) cycle</t>
  </si>
  <si>
    <t>CSS-IVE-105406</t>
  </si>
  <si>
    <t>bios.alderlake,bios.arrowlake,bios.cannonlake,bios.coffeelake,bios.cometlake,bios.icelake-client,bios.jasperlake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</si>
  <si>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Verify CNVi WLAN Functionality in OS before / after Connected Standby (CMS) cycle</t>
  </si>
  <si>
    <t>CSS-IVE-105408</t>
  </si>
  <si>
    <t>bios.alderlake,bios.arrowlake,bios.cannonlake,bios.coffeelake,bios.cometlake,bios.icelake-client,bios.jasperlake,bios.lunarlake,bios.meteorlake,bios.pantherlake,bios.pantherlake-p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</si>
  <si>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Verify Touchpad functionality pre and post Connected Standby (CMS) cycle</t>
  </si>
  <si>
    <t>CSS-IVE-105417</t>
  </si>
  <si>
    <t>bios.alderlake,bios.arrowlake,bios.cannonlake,bios.coffeelake,bios.cometlake,bios.icelake-client,bios.jasperlake,bios.kabylake_r,bios.lunarlake,bios.meteorlake,bios.raptorlake,bios.tigerlake,bios.whiskeylake</t>
  </si>
  <si>
    <t>Verify Discrete Wi-Fi functionality test pre and post Connected Standby (CMS) cycle</t>
  </si>
  <si>
    <t>CSS-IVE-105418</t>
  </si>
  <si>
    <t>Verify system shutdown/reboot via Hardware buttons on Modern standby enabled system</t>
  </si>
  <si>
    <t>CSS-IVE-105544</t>
  </si>
  <si>
    <t>bios.alderlake,bios.arrowlake,bios.cannonlake,bios.coffeelake,bios.cometlake,bios.icelake-client,bios.jasperlake,bios.lakefield,bios.lunarlake,bios.meteorlake,bios.raptorlake,bios.raptorlake_refresh,bios.rocketlake,bios.tigerlake,bios.whiskeylake,ifwi.cannonlake,ifwi.coffeelake,ifwi.cometlake,ifwi.icelake,ifwi.lakefield,ifwi.raptorlake_refresh,ifwi.tigerlake,ifwi.whiskeylake</t>
  </si>
  <si>
    <t>Verify enable/disable USB controller in device manager</t>
  </si>
  <si>
    <t>CSS-IVE-105546</t>
  </si>
  <si>
    <t>bios.alderlake,bios.arrowlake,bios.cannonlake,bios.coffeelake,bios.jasperlake,bios.lakefield,bios.lunarlake,bios.meteorlake,bios.raptorlake,bios.raptorlake_refresh</t>
  </si>
  <si>
    <t>Verify USB device functionality by disable/enable USB Overcurrent option in BIOS across Sx (S3,S4,S5) and warm reboot cycle</t>
  </si>
  <si>
    <t>CSS-IVE-105551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</si>
  <si>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</t>
  </si>
  <si>
    <t>Verify firmware Version Info (FVI) for Reference Code - CPU</t>
  </si>
  <si>
    <t>CSS-IVE-105596</t>
  </si>
  <si>
    <t>bios.alderlake,bios.arrowlake,bios.icelake-client,bios.jasperlake,bios.lakefield,bios.lunarlake,bios.meteorlake,bios.raptorlake,bios.raptorlake_refresh,bios.rocketlake,bios.tigerlake</t>
  </si>
  <si>
    <t>Verify System wakes from C-MoS using USB-Mouse connected to USB Type-C port</t>
  </si>
  <si>
    <t>CSS-IVE-105831</t>
  </si>
  <si>
    <t>Verify SUT wakes from S3 using Bluetooth (BT Devices)</t>
  </si>
  <si>
    <t>CSS-IVE-105757</t>
  </si>
  <si>
    <t>bios.alderlake,bios.arrowlake,bios.cannonlake,bios.coffeelake,bios.cometlake,bios.geminilake,bios.icelake-client,bios.jasperlake,bios.kabylake_r,bios.lunarlake,bios.meteorlake,bios.pantherlake,bios.pantherlake-p,bios.pantherlake-u,bios.raptorlake,bios.raptorlake_refresh,bios.rocketlake,bios.tigerlake,bios.whiskeylake,ifwi.lunarlake</t>
  </si>
  <si>
    <t>Verify RTD3 support for NVME SSD</t>
  </si>
  <si>
    <t>CSS-IVE-108360</t>
  </si>
  <si>
    <t>bios.alderlake,bios.arrowlake,bios.cometlake,bios.icelake-client,bios.jasperlake,bios.lakefield,bios.lunarlake,bios.meteorlake,bios.pantherlake-s,bios.raptorlake,bios.raptorlake_refresh,bios.rocketlake,bios.tigerlake</t>
  </si>
  <si>
    <t>Verify BIOS should support to enable PEP constrain on Gbe and should pass all PEP Constraints</t>
  </si>
  <si>
    <t>CSS-IVE-108387</t>
  </si>
  <si>
    <t>bios.cpu_pm,fw.ifwi.bios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</si>
  <si>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lunarlake,ifwi.meteorlake,ifwi.raptorlake,ifwi.raptorlake_refresh,ifwi.tigerlake,ifwi.whiskeylake</t>
  </si>
  <si>
    <t>Verify system stability on performing Deep S5 cycling with fast startup option enabled/disabled in OS with system in AC mode</t>
  </si>
  <si>
    <t>CSS-IVE-108419</t>
  </si>
  <si>
    <t>bios.alderlake,bios.arrowlake,bios.coffeelake,bios.cometlake,bios.lunarlake,bios.meteorlake,bios.raptorlake,bios.rocketlake,bios.tigerlake</t>
  </si>
  <si>
    <t>Verify Crash dump error state register status when SUT is in crash state</t>
  </si>
  <si>
    <t>CSS-IVE-113685</t>
  </si>
  <si>
    <t>bios.alderlake,bios.arrowlake,bios.icelake-client,bios.jasperlake,bios.lakefield,bios.lunarlake,bios.meteorlake,bios.pantherlake,bios.pantherlake-p,bios.raptorlake,bios.raptorlake_refresh,bios.tigerlake</t>
  </si>
  <si>
    <t>Verify BIOS construct BERT ACPI table through SST tool</t>
  </si>
  <si>
    <t>CSS-IVE-113717</t>
  </si>
  <si>
    <t>bios.alderlake,bios.arrowlake,bios.icelake-client,bios.jasperlake,bios.lunarlake,bios.meteorlake,bios.pantherlake-h,bios.pantherlake-p,bios.pantherlake-u,bios.raptorlake,bios.raptorlake_refresh,bios.rocketlake,bios.tigerlake</t>
  </si>
  <si>
    <t>Verify SUT support Debug Trace log capture - System Telemetry for low power debug</t>
  </si>
  <si>
    <t>CSS-IVE-113713</t>
  </si>
  <si>
    <t>bios.alderlake,bios.arrowlake,bios.lunarlake,bios.meteorlake,bios.raptorlake,bios.raptorlake_refresh,bios.rocketlake,bios.tigerlake</t>
  </si>
  <si>
    <t>Verify USB2 DbC Functionality over Type-C Port in low power state</t>
  </si>
  <si>
    <t>CSS-IVE-113643</t>
  </si>
  <si>
    <t>Verify if SUT boots to UEFI when no other boot options available</t>
  </si>
  <si>
    <t>CSS-IVE-113839</t>
  </si>
  <si>
    <t>Verify Bios have option to Enable/Disable DAM</t>
  </si>
  <si>
    <t>CSS-IVE-113725</t>
  </si>
  <si>
    <t>bios.alderlake,bios.arrowlake,bios.icelake-client,bios.lunarlake,bios.meteorlake,bios.pantherlake,bios.pantherlake-p,bios.raptorlake,bios.raptorlake_refresh,bios.rocketlake,bios.tigerlake,ifwi.icelake,ifwi.tigerlake</t>
  </si>
  <si>
    <t>Verify WWAN enter D3 and achieve L1.2 ASPM substates</t>
  </si>
  <si>
    <t>CSS-IVE-114270</t>
  </si>
  <si>
    <t>bios.alderlake,bios.arrowlake,bios.cometlake,bios.icelake-client,bios.lunarlake,bios.meteorlake,bios.pantherlake,bios.pantherlake-p,bios.raptorlake,bios.tigerlake,bios.whiskeylake</t>
  </si>
  <si>
    <t>Verify SUT wakes from S4 using Bluetooth (BT Devices)</t>
  </si>
  <si>
    <t>CSS-IVE-114273</t>
  </si>
  <si>
    <t>bios.alderlake,bios.arrowlake,bios.cannonlake,bios.coffeelake,bios.cometlake,bios.geminilake,bios.icelake-client,bios.lunarlake,bios.meteorlake,bios.pantherlake,bios.pantherlake-p,bios.pantherlake-u,bios.raptorlake,bios.raptorlake_refresh,bios.rocketlake,bios.whiskeylake,ifwi.lunarlake</t>
  </si>
  <si>
    <t>Verify Sx (S3,S4,S5) functionality after enabling External V1P05 Rail in BIOS (FIVR Settings)</t>
  </si>
  <si>
    <t>CSS-IVE-114559</t>
  </si>
  <si>
    <t>bios.alderlake,bios.apollolake,bios.cannonlake,bios.coffeelake,bios.cometlake,bios.icelake-client,bios.jasperlake,bios.kabylake,bios.kabylake_r,bios.lakefield,bios.raptorlake,bios.tigerlake,bios.whiskeylake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</si>
  <si>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</si>
  <si>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</si>
  <si>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</si>
  <si>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</si>
  <si>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</si>
  <si>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</si>
  <si>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bios.alderlake,bios.apollolake,bios.cannonlake,bios.coffeelake,bios.cometlake,bios.icelake-client,bios.jasperlake,bios.kabylake,bios.kabylake_r,bios.lakefield,bios.raptorlake,bios.rocketlake,bios.tigerlake,bios.whiskeylake</t>
  </si>
  <si>
    <t>Verify that FACP table has proper revision ID"s as per the ACPI 6.0 spec.</t>
  </si>
  <si>
    <t>CSS-IVE-114619</t>
  </si>
  <si>
    <t>BIOS should not invoke the Intel MEBx and should hide Intel MEBx hotkey entry during CSME Disable</t>
  </si>
  <si>
    <t>CSS-IVE-114670</t>
  </si>
  <si>
    <t>bios.alderlake,bios.arrowlake,bios.meteorlake,bios.pantherlake,bios.pantherlake-p,bios.raptorlake,ifwi.amberlake,ifwi.cannonlake,ifwi.coffeelake,ifwi.cometlake,ifwi.kabylake,ifwi.kabylake_r,ifwi.tigerlake,ifwi.whiskeylake</t>
  </si>
  <si>
    <t>Verify platform UEFI Class-III support</t>
  </si>
  <si>
    <t>CSS-IVE-114728</t>
  </si>
  <si>
    <t>bios.alderlake,bios.arrowlake,bios.lunarlake,bios.meteorlake,bios.pantherlake,bios.pantherlake-p,bios.raptorlake,bios.raptorlake_refresh,bios.rocketlake,bios.tigerlake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</si>
  <si>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</si>
  <si>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</si>
  <si>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</si>
  <si>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</si>
  <si>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</si>
  <si>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</si>
  <si>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</si>
  <si>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</si>
  <si>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bios.alderlake,bios.arrowlake,bios.icelake-client,bios.lunarlake,bios.meteorlake,bios.pantherlake,bios.pantherlake-p,bios.raptorlake,bios.rocketlake,bios.tigerlake</t>
  </si>
  <si>
    <t>Verify PPIN Feature when SUT is in Manufacturing mode</t>
  </si>
  <si>
    <t>CSS-IVE-114971</t>
  </si>
  <si>
    <t>Critical Battery Event wake from S0i3</t>
  </si>
  <si>
    <t>CSS-IVE-114981</t>
  </si>
  <si>
    <t>bios.cpu_pm,bios.platform,fw.ifwi.bios,fw.ifwi.ec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</si>
  <si>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,ifwi.arrowlake,ifwi.raptorlake_refresh</t>
  </si>
  <si>
    <t>Verify system does not wake from Sx via LAN with "wake on LAN" option disabled in BIOS</t>
  </si>
  <si>
    <t>CSS-IVE-114943</t>
  </si>
  <si>
    <t>bios.alderlake,bios.arrowlake,bios.cannonlake,bios.coffeelake,bios.cometlake,bios.icelake-client,bios.lunarlake,bios.meteorlake,bios.pantherlake,bios.pantherlake-p,bios.raptorlake,bios.raptorlake_refresh,bios.rocketlake,bios.tigerlake,bios.whiskeylake</t>
  </si>
  <si>
    <t>Verify SUT wake from Sx states (S3, S4) using discrete WLAN module</t>
  </si>
  <si>
    <t>CSS-IVE-115058</t>
  </si>
  <si>
    <t>bios.alderlake,bios.amberlake,bios.arrowlake,bios.cannonlake,bios.coffeelake,bios.cometlake,bios.geminilake,bios.icelake-client,bios.jasperlake,bios.kabylake,bios.kabylake_r,bios.lunarlake,bios.meteorlake,bios.raptorlake,bios.raptorlake_refresh,bios.rocketlake,bios.tigerlake,bios.whiskeylake,ifwi.meteorlake</t>
  </si>
  <si>
    <t>Validate Discrete Wi-Fi for RTD3</t>
  </si>
  <si>
    <t>CSS-IVE-115061</t>
  </si>
  <si>
    <t>Verify Sx and reboot cycles with ISH disabled</t>
  </si>
  <si>
    <t>CSS-IVE-114796</t>
  </si>
  <si>
    <t>bios.alderlake,bios.amberlake,bios.apollolake,bios.arrowlake,bios.cannonlake,bios.coffeelake,bios.cometlake,bios.icelake-client,bios.kabylake,bios.kabylake_r,bios.lakefield,bios.lunarlake,bios.meteorlake,bios.pantherlake,bios.pantherlake-p,bios.raptorlake,bios.raptorlake_refresh,bios.rocketlake,bios.tigerlake,bios.whiskeylake,ifwi.amberlake,ifwi.apollolake,ifwi.arrowlake,ifwi.cannonlake,ifwi.coffeelake,ifwi.cometlake,ifwi.icelake,ifwi.kabylake,ifwi.kabylake_r,ifwi.lakefield,ifwi.lunarlake,ifwi.meteorlake,ifwi.raptorlake,ifwi.tigerlake,ifwi.whiskeylake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</si>
  <si>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</si>
  <si>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</si>
  <si>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</si>
  <si>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</si>
  <si>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bios.alderlake,bios.arrowlake,bios.cometlake,bios.icelake-client,bios.pantherlake,bios.pantherlake-p,bios.raptorlake,bios.raptorlake_refresh,bios.rocketlake,bios.tigerlake,ifwi.cometlake,ifwi.icelake,ifwi.raptorlake_refresh,ifwi.tigerlake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</si>
  <si>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</si>
  <si>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</si>
  <si>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</si>
  <si>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</si>
  <si>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</si>
  <si>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</si>
  <si>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bios.alderlake,bios.arrowlake,bios.cannonlake,bios.coffeelake,bios.cometlake,bios.icelake-client,bios.jasperlake,bios.lakefield,bios.lunarlake,bios.meteorlake,bios.pantherlake,bios.pantherlake-p,bios.raptorlake,bios.raptorlake_refresh,bios.rocketlake,bios.tigerlake,bios.whiskeylake,ifwi.cannonlake,ifwi.coffeelake,ifwi.cometlake,ifwi.icelake,ifwi.lakefield,ifwi.tigerlake,ifwi.whiskeylake</t>
  </si>
  <si>
    <t>Verify the stability of AMT storage redirection session over TBT vPro dock post S3cycle</t>
  </si>
  <si>
    <t>CSS-IVE-115221</t>
  </si>
  <si>
    <t>bios.alderlake,bios.arrowlake,bios.lunarlake,bios.meteorlake,bios.pantherlake,bios.pantherlake-p,bios.raptorlake,bios.tigerlake,ifwi.cometlake</t>
  </si>
  <si>
    <t>Verify the stability of AMT WEBUI session over TBT vPro dock post S4 cycle</t>
  </si>
  <si>
    <t>CSS-IVE-115223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</si>
  <si>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</si>
  <si>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</si>
  <si>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</si>
  <si>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</si>
  <si>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Verify Sensor Device Temperature value in BIOS and OS</t>
  </si>
  <si>
    <t>CSS-IVE-115306</t>
  </si>
  <si>
    <t>Verify if BIOS displays Firmware Status 1, Status 2 values</t>
  </si>
  <si>
    <t>CSS-IVE-115612</t>
  </si>
  <si>
    <t>bios.alderlake,bios.arrowlake,bios.jasperlake,bios.lakefield,bios.lunarlake,bios.meteorlake,bios.raptorlake,bios.raptorlake_refresh,bios.rocketlake,bios.tigerlake</t>
  </si>
  <si>
    <t>Verify PSMI Configuration through control register using PythonSV tool</t>
  </si>
  <si>
    <t>CSS-IVE-114276</t>
  </si>
  <si>
    <t>bios.alderlake,bios.arrowlake,bios.jasperlake,bios.lakefield,bios.lunarlake,bios.meteorlake,bios.pantherlake-s,bios.raptorlake,bios.raptorlake_refresh,bios.rocketlake</t>
  </si>
  <si>
    <t>Verify Bios an option to Enable/Disable INT3400 Device participants</t>
  </si>
  <si>
    <t>CSS-IVE-116719</t>
  </si>
  <si>
    <t>bios.alderlake,bios.apollolake,bios.arrowlake,bios.cannonlake,bios.coffeelake,bios.cometlake,bios.icelake-client,bios.jasperlake,bios.kabylake,bios.kabylake_r,bios.lakefield,bios.lunarlake,bios.meteorlake,bios.pantherlake,bios.pantherlake-p,bios.raptorlake,bios.rocketlake,bios.tigerlake,bios.whiskeylake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</si>
  <si>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</si>
  <si>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</si>
  <si>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</si>
  <si>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</si>
  <si>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</si>
  <si>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</si>
  <si>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</si>
  <si>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</si>
  <si>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bios.alderlake,bios.arrowlake,bios.jasperlake,bios.lakefield,bios.lunarlake,bios.meteorlake,bios.pantherlake-h,bios.pantherlake-p,bios.pantherlake-s,bios.pantherlake-u,bios.raptorlake,bios.raptorlake_refresh,bios.rocketlake,bios.tigerlake</t>
  </si>
  <si>
    <t>Verify BIOS shall provide support to increase the SPLC default power limit to 65535 mW for Wi-Fi</t>
  </si>
  <si>
    <t>CSS-IVE-117070</t>
  </si>
  <si>
    <t>bios.alderlake,bios.arrowlake,bios.cannonlake,bios.coffeelake,bios.cometlake,bios.icelake-client,bios.pantherlake,bios.pantherlake-p,bios.raptorlake,bios.raptorlake_refresh,bios.rocketlake,bios.tigerlake,bios.whiskeylake</t>
  </si>
  <si>
    <t>Verify BIOS shall provide support to change WGDS default MAX_ALLOWED values</t>
  </si>
  <si>
    <t>CSS-IVE-117071</t>
  </si>
  <si>
    <t>Validate CNVi Wi-Fi for RTD3 support</t>
  </si>
  <si>
    <t>CSS-IVE-115565</t>
  </si>
  <si>
    <t>bios.alderlake,bios.arrowlake,bios.jasperlake,bios.lunarlake,bios.meteorlake,bios.raptorlake,bios.raptorlake_refresh,bios.rocketlake,bios.tigerlake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</si>
  <si>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</si>
  <si>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</si>
  <si>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</si>
  <si>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</si>
  <si>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</si>
  <si>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</si>
  <si>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bios.alderlake,bios.arrowlake,bios.cannonlake,bios.coffeelake,bios.cometlake,bios.icelake-client,bios.jasperlake,bios.kabylake_r,bios.lunarlake,bios.meteorlake,bios.raptorlake,bios.raptorlake_refresh,bios.rocketlake,bios.tigerlake,bios.whiskeylake</t>
  </si>
  <si>
    <t>Verify Coexistence of Discrete Wi-Fi and Bluetooth functionality in OS after Connected Modern Standby cycles</t>
  </si>
  <si>
    <t>CSS-IVE-117092</t>
  </si>
  <si>
    <t>bios.alderlake,bios.arrowlake,bios.coffeelake,bios.cometlake,bios.geminilake,bios.icelake-client,bios.jasperlake,bios.kabylake_r,bios.lakefield,bios.lunarlake,bios.meteorlake,bios.raptorlake,bios.raptorlake_refresh,bios.rocketlake,bios.tigerlake,bios.whiskeylake,ifwi.arrowlake,ifwi.cannonlake,ifwi.coffeelake,ifwi.cometlake,ifwi.geminilake,ifwi.icelake,ifwi.kabylake_r,ifwi.lakefield,ifwi.lunarlake,ifwi.meteorlake,ifwi.raptorlake,ifwi.raptorlake_refresh,ifwi.tigerlake,ifwi.whiskeylake</t>
  </si>
  <si>
    <t>Verify PSMI handler memory Reservation and configuring trace regions as WC/WB memory in BIOS</t>
  </si>
  <si>
    <t>CSS-IVE-117465</t>
  </si>
  <si>
    <t>bios.alderlake,bios.arrowlake,bios.lakefield,bios.lunarlake,bios.meteorlake,bios.pantherlake-s,bios.raptorlake,bios.raptorlake_refresh,bios.rocketlake,bios.tigerlake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</si>
  <si>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</si>
  <si>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</si>
  <si>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</si>
  <si>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</si>
  <si>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bios.alderlake,bios.arrowlake,bios.lakefield,bios.lunarlake,bios.meteorlake,bios.raptorlake,bios.raptorlake_refresh,bios.rocketlake,bios.tigerlake</t>
  </si>
  <si>
    <t>Verify Power Consumption by SoC, PCH and Memory using "Power Meter" tool</t>
  </si>
  <si>
    <t>CSS-IVE-114727</t>
  </si>
  <si>
    <t>bios.alderlake,bios.arrowlake,bios.coffeelake,bios.cometlake,bios.icelake-client,bios.jasperlake,bios.lakefield,bios.lunarlake,bios.meteorlake,bios.raptorlake,bios.raptorlake_refresh,bios.tigerlake</t>
  </si>
  <si>
    <t>Verify bios an option to enable/disable "Intel Turbo Boost Max Technology 3.0"</t>
  </si>
  <si>
    <t>CSS-IVE-117487</t>
  </si>
  <si>
    <t>bios.alderlake,bios.arrowlake,bios.cannonlake,bios.cometlake,bios.icelake-client,bios.lunarlake,bios.meteorlake,bios.pantherlake,bios.pantherlake-p,bios.raptorlake,bios.rocketlake,bios.tigerlake</t>
  </si>
  <si>
    <t>Verify WWAN functionality pre and post reboot cycles</t>
  </si>
  <si>
    <t>CSS-IVE-117676</t>
  </si>
  <si>
    <t>bios.alderlake,bios.amberlake,bios.arrowlake,bios.cannonlake,bios.coffeelake,bios.cometlake,bios.icelake-client,bios.kabylake,bios.kabylake_r,bios.lakefield,bios.lunarlake,bios.meteorlake,bios.pantherlake,bios.pantherlake-p,bios.raptorlake,bios.raptorlake_refresh,bios.tigerlake,bios.whiskeylake,ifwi.amberlake,ifwi.cannonlake,ifwi.coffeelake,ifwi.cometlake,ifwi.icelake,ifwi.kabylake,ifwi.kabylake_r,ifwi.lakefield,ifwi.lunarlake,ifwi.meteorlake,ifwi.raptorlake,ifwi.raptorlake_refresh,ifwi.tigerlake,ifwi.whiskeylake</t>
  </si>
  <si>
    <t>Verify System achieve SLP_S0 residency when GBE is enabled or disabled in BIOS</t>
  </si>
  <si>
    <t>CSS-IVE-117848</t>
  </si>
  <si>
    <t>bios.alderlake,bios.amberlake,bios.arrowlake,bios.cannonlake,bios.coffeelake,bios.cometlake,bios.icelake-client,bios.kabylake,bios.lunarlake,bios.meteorlake,bios.raptorlake,bios.raptorlake_refresh,bios.rocketlake,bios.skylake,bios.tigerlake,bios.whiskeylake,ifwi.alderlake,ifwi.coffeelake,ifwi.cometlake,ifwi.icelake,ifwi.rocketlake</t>
  </si>
  <si>
    <t>Verify Bios has separate options to enable Deep S4 and Deep S5</t>
  </si>
  <si>
    <t>CSS-IVE-115841</t>
  </si>
  <si>
    <t>bios.alderlake,bios.arrowlake,bios.lunarlake,bios.meteorlake,bios.pantherlake-s,bios.raptorlake,bios.rocketlake,bios.tigerlake</t>
  </si>
  <si>
    <t>Verify platform "Energy performance " using MSR 1B0h with Different OS power plan (High performance, Power Saver and Balanced [Active])</t>
  </si>
  <si>
    <t>CSS-IVE-117925</t>
  </si>
  <si>
    <t>bios.alderlake,bios.arrowlake,bios.coffeelake,bios.cometlake,bios.lunarlake,bios.meteorlake,bios.raptorlake</t>
  </si>
  <si>
    <t>Verify new audio Offload ACPI table/indication for CNV's Bluetooth</t>
  </si>
  <si>
    <t>CSS-IVE-117952</t>
  </si>
  <si>
    <t>Verify NPK Trace log generated with SVENTX events when Release BIOS flashed</t>
  </si>
  <si>
    <t>CSS-IVE-117992</t>
  </si>
  <si>
    <t>Verify GUID of ACPI &amp; SMBIOS table</t>
  </si>
  <si>
    <t>CSS-IVE-105604</t>
  </si>
  <si>
    <t>Verify BIOS set up option to enable/disable S0ix Auto Demotion</t>
  </si>
  <si>
    <t>CSS-IVE-111672</t>
  </si>
  <si>
    <t>bios.alderlake,bios.arrowlake,bios.meteorlake,bios.raptorlake,bios.rocketlake,bios.tigerlake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</si>
  <si>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</si>
  <si>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</si>
  <si>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</si>
  <si>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</si>
  <si>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</si>
  <si>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</si>
  <si>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bios.alderlake,bios.arrowlake,bios.icelake-client,bios.lunarlake,bios.meteorlake,bios.pantherlake-s,bios.raptorlake,bios.tigerlake</t>
  </si>
  <si>
    <t>Verify Bios set up option to enable/disable PMC Debug Mode Lock (PWRMBASE + offset 1818 , bit 27 )</t>
  </si>
  <si>
    <t>CSS-IVE-118051</t>
  </si>
  <si>
    <t>bios.alderlake,bios.arrowlake,bios.icelake-client,bios.lunarlake,bios.meteorlake,bios.pantherlake,bios.pantherlake-p,bios.raptorlake,bios.tigerlake</t>
  </si>
  <si>
    <t>Verify TBT-vPRO-Dock information under Intel Manageability and security status tool in OS</t>
  </si>
  <si>
    <t>CSS-IVE-118147</t>
  </si>
  <si>
    <t>bios.alderlake,bios.arrowlake,bios.lunarlake,bios.meteorlake,bios.pantherlake,bios.pantherlake-p,bios.raptorlake,bios.tigerlake,ifwi.arrowlake,ifwi.cometlake,ifwi.meteorlake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</si>
  <si>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</si>
  <si>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</si>
  <si>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</si>
  <si>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</si>
  <si>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bios.alderlake,bios.arrowlake,bios.lunarlake,bios.meteorlake,bios.pantherlake,bios.pantherlake-p,bios.raptorlake,bios.rocketlake,bios.tigerlake,ifwi.arrowlake,ifwi.cometlake,ifwi.lunarlake,ifwi.meteorlake,ifwi.raptorlake</t>
  </si>
  <si>
    <t>Verify the stability of AMT KVM session over TBT-VPro Dock Post CMos cycle</t>
  </si>
  <si>
    <t>CSS-IVE-118178</t>
  </si>
  <si>
    <t>Verify the stability of AMT WEBUI session over TBT vPro dock post CMS cycle</t>
  </si>
  <si>
    <t>CSS-IVE-118179</t>
  </si>
  <si>
    <t>Verify the stability of AMT KVM session over TBT-VPro Dock Post S3 cycle</t>
  </si>
  <si>
    <t>CSS-IVE-118180</t>
  </si>
  <si>
    <t>Verify the stability of AMT WEBUI session over TBT vPro dock post S3 cycle</t>
  </si>
  <si>
    <t>CSS-IVE-118181</t>
  </si>
  <si>
    <t>Verify the stability of AMT KVM session over TBT-VPro Dock Post S4 cycle</t>
  </si>
  <si>
    <t>CSS-IVE-118183</t>
  </si>
  <si>
    <t>Verify the stability of AMT WEBUI session over TBT vPro dock post S5 cycle</t>
  </si>
  <si>
    <t>CSS-IVE-118184</t>
  </si>
  <si>
    <t>Verify the stability of AMT KVM session over TBT-VPro Dock Post S5 cycle</t>
  </si>
  <si>
    <t>CSS-IVE-118185</t>
  </si>
  <si>
    <t>Verify Remote wake from sx using Alarm wake works fine over TBT-Vpro-Dock</t>
  </si>
  <si>
    <t>CSS-IVE-118187</t>
  </si>
  <si>
    <t>bios.alderlake,bios.arrowlake,bios.lunarlake,bios.meteorlake,bios.pantherlake,bios.pantherlake-p,bios.raptorlake,bios.tigerlake,ifwi.cometlake,ifwi.lunarlake</t>
  </si>
  <si>
    <t>Verify SMBIOS 3.2 Support</t>
  </si>
  <si>
    <t>CSS-IVE-118243</t>
  </si>
  <si>
    <t>bios.alderlake,bios.arrowlake,bios.cometlake,bios.lunarlake,bios.meteorlake,bios.pantherlake,bios.pantherlake-p,bios.raptorlake,bios.raptorlake_refresh,bios.rocketlake,bios.tigerlake</t>
  </si>
  <si>
    <t>Verify Network functionality using AIC connected over PCIe slot after cold Boot/warm reset</t>
  </si>
  <si>
    <t>CSS-IVE-118277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</si>
  <si>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</si>
  <si>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Verify Network functionality using AIC connected over PCIe slot after Sx cycles</t>
  </si>
  <si>
    <t>CSS-IVE-118278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</si>
  <si>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</si>
  <si>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</si>
  <si>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</si>
  <si>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</si>
  <si>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bios.alderlake,bios.arrowlake,bios.cannonlake,bios.coffeelake,bios.cometlake,bios.geminilake,bios.icelake-client,bios.lunarlake,bios.meteorlake,bios.raptorlake,bios.raptorlake_refresh,bios.rocketlake,bios.tigerlake,bios.whiskeylake,ifwi.arrowlake,ifwi.cannonlake,ifwi.coffeelake,ifwi.cometlake,ifwi.geminilake,ifwi.icelake,ifwi.raptorlake,ifwi.raptorlake_refresh,ifwi.tigerlake,ifwi.whiskeylake</t>
  </si>
  <si>
    <t>Verify Modem Crash support implementation in ACPI table</t>
  </si>
  <si>
    <t>CSS-IVE-118325</t>
  </si>
  <si>
    <t>bios.alderlake,bios.arrowlake,bios.cometlake,bios.icelake-client,bios.lunarlake,bios.meteorlake,bios.pantherlake,bios.pantherlake-p,bios.raptorlake,bios.raptorlake_refresh,bios.tigerlake</t>
  </si>
  <si>
    <t>Verify stability of Wi-Fi and BT functionality after S3, S4, S5, Warm and cold reboot cycles with PPAG (Per Platform Antenna Gain) option enabled in BIOS</t>
  </si>
  <si>
    <t>CSS-IVE-118411</t>
  </si>
  <si>
    <t>bios.alderlake,bios.arrowlake,bios.cometlake,bios.jasperlake,bios.lunarlake,bios.meteorlake,bios.raptorlake,bios.raptorlake_refresh,bios.rocketlake,bios.tigerlake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</si>
  <si>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</si>
  <si>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</si>
  <si>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</si>
  <si>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</si>
  <si>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bios.alderlake,bios.arrowlake,bios.cometlake,bios.jasperlake,bios.lunarlake,bios.meteorlake,bios.pantherlake,bios.pantherlake-p,bios.raptorlake,bios.raptorlake_refresh,bios.rocketlake,bios.tigerlake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</si>
  <si>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</si>
  <si>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</si>
  <si>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</si>
  <si>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</si>
  <si>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</si>
  <si>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</si>
  <si>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</si>
  <si>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</si>
  <si>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</si>
  <si>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</si>
  <si>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bios.alderlake,bios.amberlake,bios.amberlake_7w,bios.arrowlake,bios.cannonlake,bios.coffeelake,bios.cometlake,bios.icelake-client,bios.jasperlake,bios.lunarlake,bios.meteorlake,bios.pantherlake,bios.pantherlake-p,bios.raptorlake,bios.rocketlake,bios.tigerlake,bios.whiskeylake</t>
  </si>
  <si>
    <t>Verify system stability on performing Sleep cycle on freshly preloaded OS post flashing Performance BIOS</t>
  </si>
  <si>
    <t>CSS-IVE-122084</t>
  </si>
  <si>
    <t>bios.alderlake,bios.arrowlake,bios.coffeelake,bios.cometlake,bios.icelake-client,bios.jasperlake,bios.meteorlake,bios.raptorlake,bios.raptorlake_refresh,bios.rocketlake,bios.tigerlake,bios.whiskeylake,ifwi.coffeelake,ifwi.cometlake,ifwi.icelake,ifwi.raptorlake_refresh,ifwi.tigerlake,ifwi.whiskeylake</t>
  </si>
  <si>
    <t>Verify system stability on performing Hibernate cycle on freshly preloaded OS post flashing Performance BIOS</t>
  </si>
  <si>
    <t>CSS-IVE-122085</t>
  </si>
  <si>
    <t>bios.alderlake,bios.arrowlake,bios.coffeelake,bios.cometlake,bios.icelake-client,bios.jasperlake,bios.lakefield,bios.lunarlake,bios.meteorlake,bios.raptorlake,bios.raptorlake_refresh,bios.rocketlake,bios.tigerlake,bios.whiskeylake,ifwi.coffeelake,ifwi.cometlake,ifwi.icelake,ifwi.lakefield,ifwi.raptorlake_refresh,ifwi.tigerlake,ifwi.whiskeylake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</si>
  <si>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</si>
  <si>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</si>
  <si>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</si>
  <si>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</si>
  <si>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</si>
  <si>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</si>
  <si>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</si>
  <si>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</si>
  <si>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</si>
  <si>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</si>
  <si>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</si>
  <si>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</si>
  <si>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bios.alderlake,bios.arrowlake,bios.coffeelake,bios.cometlake,bios.icelake-client,bios.jasperlake,bios.lunarlake,bios.meteorlake,bios.raptorlake,bios.raptorlake_refresh,bios.rocketlake,bios.tigerlake,bios.whiskeylake,ifwi.coffeelake,ifwi.cometlake,ifwi.icelake,ifwi.raptorlake_refresh,ifwi.tigerlake,ifwi.whiskeylake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</si>
  <si>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</si>
  <si>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</si>
  <si>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</si>
  <si>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</si>
  <si>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bios.platform,bios.sa,fw.ifwi.others</t>
  </si>
  <si>
    <t>bios.alderlake,bios.arrowlake,bios.lunarlake,bios.meteorlake,bios.pantherlake,bios.pantherlake-h,bios.pantherlake-p,bios.pantherlake-u,bios.raptorlake,bios.raptorlake_refresh,bios.tigerlake,ifwi.alderlake,ifwi.arrowlake,ifwi.lunarlake,ifwi.meteorlake,ifwi.raptorlake_refresh</t>
  </si>
  <si>
    <t>Verify Dual Controller Support - USB4 Hub &amp; USB4 Dock functionality on Cold-Plug</t>
  </si>
  <si>
    <t>CSS-IVE-122120</t>
  </si>
  <si>
    <t>bios.alderlake,bios.arrowlake,bios.lunarlake,bios.meteorlake,bios.pantherlake,bios.pantherlake-h,bios.pantherlake-p,bios.pantherlake-u,bios.raptorlake,bios.raptorlake_refresh,bios.tigerlake</t>
  </si>
  <si>
    <t>Verify USB4 storage functionality hot plug during S4, S5 cycles</t>
  </si>
  <si>
    <t>CSS-IVE-122124</t>
  </si>
  <si>
    <t>bios.platform,bios.sa,fw.ifwi.iom,fw.ifwi.nphy,fw.ifwi.pmc,fw.ifwi.sam,fw.ifwi.sphy,fw.ifwi.tbt</t>
  </si>
  <si>
    <t>bios.alderlake,bios.arrowlake,bios.lunarlake,bios.meteorlake,bios.pantherlake,bios.pantherlake-p,bios.raptorlake,bios.raptorlake_refresh,bios.rocketlake,bios.tigerlake,ifwi.arrowlake,ifwi.lunarlake,ifwi.meteorlake,ifwi.raptorlake,ifwi.raptorlake_refresh</t>
  </si>
  <si>
    <t>Verify Bios flash support on RVP using FFT/FPT</t>
  </si>
  <si>
    <t>CSS-IVE-122126</t>
  </si>
  <si>
    <t>bios.alderlake,bios.arrowlake,bios.lakefield,bios.lunarlake,bios.meteorlake,bios.pantherlake,bios.pantherlake-p,bios.raptorlake,bios.raptorlake_refresh,bios.rocketlake,bios.tigerlake,ifwi.arrowlake,ifwi.lakefield,ifwi.lunarlake,ifwi.meteorlake,ifwi.raptorlake,ifwi.tigerlake</t>
  </si>
  <si>
    <t>Validate on board LAN device for RTD3</t>
  </si>
  <si>
    <t>CSS-IVE-122356</t>
  </si>
  <si>
    <t>bios.alderlake,bios.amberlake_7w,bios.arrowlake,bios.icelake-client,bios.jasperlake,bios.lunarlake,bios.meteorlake,bios.raptorlake,bios.tigerlake,ifwi.lunarlake</t>
  </si>
  <si>
    <t>Verify Device Swap during S4 with all Type-C ports - DP and USB(3.0)</t>
  </si>
  <si>
    <t>CSS-IVE-122475</t>
  </si>
  <si>
    <t>bios.alderlake,bios.arrowlake,bios.jasperlake,bios.lakefield,bios.lunarlake,bios.meteorlake,bios.pantherlake,bios.pantherlake-p,bios.raptorlake,bios.raptorlake_refresh</t>
  </si>
  <si>
    <t>Verify Device Swap during S4 with all Type-C ports - DP and USB(2.0)</t>
  </si>
  <si>
    <t>CSS-IVE-122479</t>
  </si>
  <si>
    <t>bios.alderlake,bios.arrowlake,bios.jasperlake,bios.lakefield,bios.lunarlake,bios.meteorlake,bios.raptorlake,bios.raptorlake_refresh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</si>
  <si>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</si>
  <si>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</si>
  <si>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</si>
  <si>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</si>
  <si>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</si>
  <si>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</si>
  <si>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</si>
  <si>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</si>
  <si>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</si>
  <si>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</si>
  <si>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</si>
  <si>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</si>
  <si>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</si>
  <si>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</si>
  <si>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</si>
  <si>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</si>
  <si>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</si>
  <si>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</si>
  <si>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</si>
  <si>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</si>
  <si>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16K HEVC (H.265) video playback in OS</t>
  </si>
  <si>
    <t>CSS-IVE-129746</t>
  </si>
  <si>
    <t>Verify ECKPWRCTL disable when DCI is disabled</t>
  </si>
  <si>
    <t>CSS-IVE-129750</t>
  </si>
  <si>
    <t>bios.alderlake,bios.cometlake,bios.icelake-client,bios.jasperlake,bios.lakefield,bios.raptorlake,bios.raptorlake_refresh,bios.rocketlake,bios.tigerlake,bios.whiskeylake,ifwi.cometlake,ifwi.icelake,ifwi.lakefield,ifwi.tigerlake,ifwi.whiskeylake</t>
  </si>
  <si>
    <t>Verify BIOS SETUP "LPIT Residency Counter" item for ATX Shutdown (PS_ON) for IntelPEP access</t>
  </si>
  <si>
    <t>CSS-IVE-129980</t>
  </si>
  <si>
    <t>bios.alderlake,bios.arrowlake,bios.lunarlake,bios.meteorlake,bios.pantherlake-s,bios.raptorlake</t>
  </si>
  <si>
    <t>Verify the BIOS size using FFT Tool</t>
  </si>
  <si>
    <t>CSS-IVE-132613</t>
  </si>
  <si>
    <t>Verify AMT WEBUI is accessible during sx cycles over TBT-vPRO-Dock</t>
  </si>
  <si>
    <t>CSS-IVE-129981</t>
  </si>
  <si>
    <t>bios.alderlake,bios.arrowlake,bios.lunarlake,bios.meteorlake,bios.pantherlake,bios.pantherlake-p,bios.raptorlake,ifwi.arrowlake,ifwi.cometlake,ifwi.meteorlake</t>
  </si>
  <si>
    <t>Verify AMT WEBUI is accessible during sx cycles over Wired LAN</t>
  </si>
  <si>
    <t>CSS-IVE-130030</t>
  </si>
  <si>
    <t>Verify TCSS D3Cold support when System connected with TBT device</t>
  </si>
  <si>
    <t>CSS-IVE-129785</t>
  </si>
  <si>
    <t>bios.pch,bios.platform,bios.sa</t>
  </si>
  <si>
    <t>Verify TCSS D3Cold Entry and Exit happens  with TBT device connected</t>
  </si>
  <si>
    <t>CSS-IVE-132636</t>
  </si>
  <si>
    <t>Verify PCH /CSE/CPU bootstall unlock via USB2DbC</t>
  </si>
  <si>
    <t>CSS-IVE-132950</t>
  </si>
  <si>
    <t>bios.platform,fw.ifwi.csme,fw.ifwi.others,fw.ifwi.pchc</t>
  </si>
  <si>
    <t>bios.alderlake,bios.arrowlake,bios.lunarlake,bios.meteorlake,bios.raptorlake,bios.raptorlake_refresh,ifwi.arrowlake,ifwi.lunarlake,ifwi.meteorlake,ifwi.raptorlake</t>
  </si>
  <si>
    <t>Verify cold boot with USB3.1 Gen2 mass storage device connected across all the Type C ports</t>
  </si>
  <si>
    <t>CSS-IVE-133024</t>
  </si>
  <si>
    <t>bios.platform,bios.sa,fw.ifwi.iom,fw.ifwi.nphy,fw.ifwi.pmc,fw.ifwi.sphy,fw.ifwi.tbt</t>
  </si>
  <si>
    <t>bios.alderlake,bios.arrowlake,bios.lunarlake,bios.meteorlake,bios.raptorlake,bios.raptorlake_refresh,ifwi.arrowlake,ifwi.lunarlake,ifwi.meteorlake,ifwi.raptorlake,ifwi.raptorlake_refresh</t>
  </si>
  <si>
    <t>Verify System trace via 2-Wire BSSB interface</t>
  </si>
  <si>
    <t>CSS-IVE-132994</t>
  </si>
  <si>
    <t>bios.cpu_pm,fw.ifwi.gbe,fw.ifwi.others</t>
  </si>
  <si>
    <t>bios.alderlake,bios.arrowlake,bios.jasperlake,bios.lakefield,bios.lunarlake,bios.meteorlake,bios.raptorlake,bios.raptorlake_refresh,ifwi.arrowlake,ifwi.lakefield,ifwi.lunarlake,ifwi.meteorlake,ifwi.raptorlake</t>
  </si>
  <si>
    <t>Validate concurrent support of USB2.0 DbC and data transfer over Type-C port</t>
  </si>
  <si>
    <t>CSS-IVE-133035</t>
  </si>
  <si>
    <t>bios.alderlake,bios.arrowlake,bios.cometlake,bios.icelake-client,bios.lakefield,bios.lunarlake,bios.meteorlake,bios.raptorlake,bios.raptorlake_refresh,bios.rocketlake,bios.tigerlake,bios.whiskeylake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</si>
  <si>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</si>
  <si>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</si>
  <si>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</si>
  <si>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</si>
  <si>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</si>
  <si>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</si>
  <si>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</si>
  <si>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</si>
  <si>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</si>
  <si>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</si>
  <si>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</si>
  <si>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</si>
  <si>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</si>
  <si>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</si>
  <si>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bios.platform,bios.sa,fw.ifwi.iom,fw.ifwi.pmc,fw.ifwi.tbt</t>
  </si>
  <si>
    <t>Verify USB4 storage functionality on hot insert and removal and connector reversibility</t>
  </si>
  <si>
    <t>CSS-IVE-122116</t>
  </si>
  <si>
    <t>bios.alderlake,bios.arrowlake,bios.lunarlake,bios.meteorlake,bios.pantherlake,bios.pantherlake-p,bios.raptorlake,bios.raptorlake_refresh,bios.rocketlake,bios.tigerlake,ifwi.alderlake,ifwi.arrowlake,ifwi.lunarlake,ifwi.meteorlake,ifwi.raptorlake,ifwi.raptorlake_refresh</t>
  </si>
  <si>
    <t>Validate USB4 Hub Device functionality after CMS Cycles</t>
  </si>
  <si>
    <t>CSS-IVE-133220</t>
  </si>
  <si>
    <t>bios.alderlake,bios.arrowlake,bios.lunarlake,bios.meteorlake,bios.pantherlake,bios.pantherlake-p,bios.raptorlake,bios.raptorlake_refresh,bios.rocketlake,bios.tigerlake,ifwi.arrowlake,ifwi.meteorlake,ifwi.raptorlake,ifwi.raptorlake_refresh</t>
  </si>
  <si>
    <t>Validate USB4 Hub Device functionality during  DeepSx Cycle</t>
  </si>
  <si>
    <t>CSS-IVE-133221</t>
  </si>
  <si>
    <t>Validate USB4 Hub Device functionality after DeepSx Cycle</t>
  </si>
  <si>
    <t>CSS-IVE-133224</t>
  </si>
  <si>
    <t>bios.platform,bios.sa,fw.ifwi.dekelPhy,fw.ifwi.iom,fw.ifwi.pmc,fw.ifwi.sam,fw.ifwi.tbt</t>
  </si>
  <si>
    <t>bios.alderlake,bios.arrowlake,bios.lunarlake,bios.meteorlake,bios.pantherlake,bios.pantherlake-p,bios.raptorlake,bios.raptorlake_refresh,bios.rocketlake,bios.tigerlake,ifwi.raptorlake_refresh,ifwi.tigerlake</t>
  </si>
  <si>
    <t>Validate USB4 Hub Device functionality during CMS Cycles</t>
  </si>
  <si>
    <t>CSS-IVE-133226</t>
  </si>
  <si>
    <t>Validate USB4 Dock Device functionality after CMS Cycles</t>
  </si>
  <si>
    <t>CSS-IVE-133228</t>
  </si>
  <si>
    <t>bios.alderlake,bios.arrowlake,bios.lunarlake,bios.meteorlake,bios.pantherlake,bios.pantherlake-p,bios.raptorlake,bios.raptorlake_refresh,bios.rocketlake,bios.tigerlake,ifwi.lunarlake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</si>
  <si>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</si>
  <si>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</si>
  <si>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</si>
  <si>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</si>
  <si>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</si>
  <si>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</si>
  <si>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</si>
  <si>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</si>
  <si>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</si>
  <si>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</si>
  <si>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</si>
  <si>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</si>
  <si>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</si>
  <si>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</si>
  <si>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</si>
  <si>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</si>
  <si>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</si>
  <si>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</si>
  <si>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bios.alderlake,bios.arrowlake,bios.meteorlake,bios.raptorlake,bios.raptorlake_refresh,bios.tigerlake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</si>
  <si>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</si>
  <si>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</si>
  <si>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</si>
  <si>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</si>
  <si>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</si>
  <si>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</si>
  <si>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bios.alderlake,bios.arrowlake,bios.lakefield,bios.lunarlake,bios.meteorlake,bios.raptorlake,bios.rocketlake,bios.tigerlake</t>
  </si>
  <si>
    <t>Verify S0i3 residency when system connected to Wi-Fi Network</t>
  </si>
  <si>
    <t>CSS-IVE-133709</t>
  </si>
  <si>
    <t>bios.alderlake,bios.arrowlake,bios.cometlake,bios.lunarlake,bios.meteorlake,bios.raptorlake,bios.raptorlake_refresh,ifwi.arrowlake,ifwi.cometlake,ifwi.raptorlake,ifwi.raptorlake_refresh</t>
  </si>
  <si>
    <t>Validate RTD3 for Touch Panel</t>
  </si>
  <si>
    <t>CSS-IVE-134023</t>
  </si>
  <si>
    <t>Verify USB2 PMCTRL bit is enabled</t>
  </si>
  <si>
    <t>CSS-IVE-134042</t>
  </si>
  <si>
    <t>Verify C-state values by limiting TCSS TC-State with TBT device connected</t>
  </si>
  <si>
    <t>CSS-IVE-135372</t>
  </si>
  <si>
    <t>bios.arrowlake,bios.lunarlake,bios.meteorlake,bios.pantherlake-h,bios.pantherlake-p,bios.pantherlake-u,bios.raptorlake,bios.raptorlake_refresh,bios.tigerlake</t>
  </si>
  <si>
    <t>Verify BIOS setup options for RFI Spread Spectrum control (SSC) range</t>
  </si>
  <si>
    <t>CSS-IVE-135386</t>
  </si>
  <si>
    <t>Verify Discrete Wi-Fi functional test pre and post warm reset cycle</t>
  </si>
  <si>
    <t>CSS-IVE-135470</t>
  </si>
  <si>
    <t>bios.ald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lderlake,ifwi.apollolake,ifwi.arrowlake,ifwi.broxton,ifwi.cannonlake,ifwi.coffeelake,ifwi.cometlake,ifwi.geminilake,ifwi.icelake,ifwi.kabylake,ifwi.kabylake_r,ifwi.lakefield,ifwi.raptorlake,ifwi.raptorlake_refresh,ifwi.tigerlake,ifwi.whiskeylake</t>
  </si>
  <si>
    <t>Verify CNVi Bluetooth Functionality in OS before/after warm reset cycle</t>
  </si>
  <si>
    <t>CSS-IVE-135471</t>
  </si>
  <si>
    <t>bios.alderlake,bios.arrowlake,bios.cannonlake,bios.coffeelake,bios.cometlake,bios.geminilake,bios.icelake-client,bios.jasperlake,bios.lunarlake,bios.meteorlake,bios.pantherlake,bios.pantherlake-p,bios.raptorlake,bios.raptorlake_refresh,bios.rocketlake,bios.tigerlake,bios.whiskeylake,ifwi.arrowlake,ifwi.cannonlake,ifwi.coffeelake,ifwi.cometlake,ifwi.geminilake,ifwi.icelake,ifwi.meteorlake,ifwi.raptorlake,ifwi.raptorlake_refresh,ifwi.tigerlake,ifwi.whiskeylake</t>
  </si>
  <si>
    <t>Verify APIC ID"s updated by BIOS for 24(Core+Atom) Cores in APIC tables</t>
  </si>
  <si>
    <t>CSS-IVE-135476</t>
  </si>
  <si>
    <t>Verify Discrete Bluetooth device function test on OS pre and post Warm reset cycle</t>
  </si>
  <si>
    <t>CSS-IVE-135490</t>
  </si>
  <si>
    <t>Verify CSME has the right MAC address to communicate with AMT</t>
  </si>
  <si>
    <t>CSS-IVE-135719</t>
  </si>
  <si>
    <t>bios.alderlake,bios.arrowlake,bios.cometlake,bios.lunarlake,bios.meteorlake,bios.pantherlake-s,bios.raptorlake,bios.tigerlake,ifwi.cometlake,ifwi.tigerlake</t>
  </si>
  <si>
    <t>Verify BIOS  Debug settings passed as part of a Debug Token Via Dnx Mode</t>
  </si>
  <si>
    <t>CSS-IVE-135705</t>
  </si>
  <si>
    <t>bios.alderlake,bios.arrowlake,bios.lunarlake,bios.meteorlake,bios.pantherlake,bios.pantherlake-p,bios.raptorlake,bios.raptorlake_refresh,ifwi.lunarlake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</si>
  <si>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</si>
  <si>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</si>
  <si>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</si>
  <si>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CSS-IVE-136346</t>
  </si>
  <si>
    <t>Verify IOM FW version are updated in Bios under TCSS Setup Menu</t>
  </si>
  <si>
    <t>CSS-IVE-136377</t>
  </si>
  <si>
    <t>bios.arrowlake,bios.icelake-client,bios.raptorlake,bios.raptorlake_refresh,bios.tigerlake</t>
  </si>
  <si>
    <t>Validate on PCIe LAN device for RTD3</t>
  </si>
  <si>
    <t>CSS-IVE-136395</t>
  </si>
  <si>
    <t>bios.alderlake,bios.arrowlake,bios.icelake-client,bios.jasperlake,bios.lunarlake,bios.meteorlake,bios.raptorlake,bios.raptorlake_refresh,bios.tigerlake,ifwi.lunarlake</t>
  </si>
  <si>
    <t>[OCR] Verify AMT UEFI Boot Options should be Greyed out  with Redirection session over Wired LAN</t>
  </si>
  <si>
    <t>CSS-IVE-135853</t>
  </si>
  <si>
    <t>bios.alderlake,bios.arrowlake,bios.lunarlake,bios.meteorlake,bios.raptorlake,bios.tigerlake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</si>
  <si>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</si>
  <si>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</si>
  <si>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</si>
  <si>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</si>
  <si>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</si>
  <si>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</si>
  <si>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</si>
  <si>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</si>
  <si>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</si>
  <si>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</si>
  <si>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</si>
  <si>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</si>
  <si>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</si>
  <si>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</si>
  <si>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</si>
  <si>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</si>
  <si>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</si>
  <si>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</si>
  <si>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Verify OS debug  support with DMA Pre-boot  Protection in enabled state</t>
  </si>
  <si>
    <t>CSS-IVE-138269</t>
  </si>
  <si>
    <t>bios.alderlake,bios.arrowlake,bios.cometlake,bios.icelake-client,bios.jasperlake,bios.lunarlake,bios.meteorlake,bios.pantherlake,bios.pantherlake-p,bios.raptorlake,bios.raptorlake_refresh,bios.rocketlake,bios.tigerlake</t>
  </si>
  <si>
    <t>Verify WWAN (5G) Functionality</t>
  </si>
  <si>
    <t>CSS-IVE-138264</t>
  </si>
  <si>
    <t>bios.alderlake,bios.apollolake,bios.arrowlake,bios.cannonlake,bios.coffeelake,bios.geminilake,bios.icelake-client,bios.kabylake,bios.kabylake_r,bios.lakefield,bios.lunarlake,bios.meteorlake,bios.pantherlake,bios.pantherlake-p,bios.raptorlake,bios.raptorlake_refresh</t>
  </si>
  <si>
    <t>[OCR] Verify availability of OCR Boot options for One Click Recovery while AMT is globally disabled</t>
  </si>
  <si>
    <t>CSS-IVE-136427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</si>
  <si>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</si>
  <si>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</si>
  <si>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</si>
  <si>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</si>
  <si>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</si>
  <si>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</si>
  <si>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bios.alderlake,bios.arrowlake,bios.raptorlake,bios.raptorlake_refresh,bios.tigerlake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</si>
  <si>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</si>
  <si>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</si>
  <si>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</si>
  <si>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</si>
  <si>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</si>
  <si>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</si>
  <si>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bios.alderlake,bios.arrowlake,bios.jasperlake,bios.lunarlake,bios.meteorlake,bios.pantherlake,bios.pantherlake-p,bios.raptorlake,bios.raptorlake_refresh,bios.rocketlake,bios.tigerlake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</si>
  <si>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</si>
  <si>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</si>
  <si>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</si>
  <si>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</si>
  <si>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</si>
  <si>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</si>
  <si>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</si>
  <si>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</si>
  <si>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</si>
  <si>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</si>
  <si>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</si>
  <si>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</si>
  <si>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</si>
  <si>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</si>
  <si>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</si>
  <si>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</si>
  <si>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</si>
  <si>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</si>
  <si>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</si>
  <si>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</si>
  <si>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</si>
  <si>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</si>
  <si>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</si>
  <si>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</si>
  <si>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upgradation from OS using TDT tool</t>
  </si>
  <si>
    <t>CSS-IVE-145324</t>
  </si>
  <si>
    <t>bios.platform,bios.sa,fw.ifwi.dekelPhy,fw.ifwi.iom,fw.ifwi.pmc,fw.ifwi.tbt</t>
  </si>
  <si>
    <t>bios.alderlake,bios.arrowlake,bios.lunarlake,bios.meteorlake,bios.pantherlake,bios.pantherlake-p,bios.raptorlake,bios.raptorlake_refresh,ifwi.raptorlake_refresh,ifwi.tigerlake</t>
  </si>
  <si>
    <t>Verify Retimer firmware Down gradation from OS using TDT tool</t>
  </si>
  <si>
    <t>CSS-IVE-145370</t>
  </si>
  <si>
    <t>Verify Retimer firmware Down gradation from EFI shell</t>
  </si>
  <si>
    <t>CSS-IVE-145371</t>
  </si>
  <si>
    <t>Verify Retimer firmware Upgradation from EFI shell</t>
  </si>
  <si>
    <t>CSS-IVE-145372</t>
  </si>
  <si>
    <t>bios.alderlake,bios.arrowlake,bios.lunarlake,bios.meteorlake,bios.pantherlake,bios.pantherlake-p,bios.raptorlake,bios.raptorlake_refresh,ifwi.lunarlake,ifwi.raptorlake_refresh,ifwi.tigerlake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</si>
  <si>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</si>
  <si>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</si>
  <si>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</si>
  <si>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</si>
  <si>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</si>
  <si>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</si>
  <si>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</si>
  <si>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</si>
  <si>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</si>
  <si>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</si>
  <si>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</si>
  <si>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</si>
  <si>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</si>
  <si>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</si>
  <si>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</si>
  <si>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</si>
  <si>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</si>
  <si>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</si>
  <si>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</si>
  <si>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</si>
  <si>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</si>
  <si>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</si>
  <si>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</si>
  <si>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</si>
  <si>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</si>
  <si>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</si>
  <si>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</si>
  <si>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</si>
  <si>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</si>
  <si>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</si>
  <si>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</si>
  <si>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</si>
  <si>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</si>
  <si>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</si>
  <si>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</si>
  <si>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</si>
  <si>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bios.alderlake,bios.arrowlake,bios.lunarlake,bios.meteorlake,bios.raptorlake,bios.raptorlake_refresh,bios.rocketlake</t>
  </si>
  <si>
    <t>Verify connection Swap during S4 and S5 with all Type-C ports - USB3.1 Gen2, USB3.0 Hub and USB2.0</t>
  </si>
  <si>
    <t>CSS-IVE-145223</t>
  </si>
  <si>
    <t>Verify new ACPI ID implementation for I2C ELAN Touch controller Support</t>
  </si>
  <si>
    <t>CSS-IVE-145811</t>
  </si>
  <si>
    <t>Verify ACPI _DSM method implementation to Add ISH based Dynamic SAR support in BIOS</t>
  </si>
  <si>
    <t>CSS-IVE-145819</t>
  </si>
  <si>
    <t>bios.alderlake,bios.arrowlake,bios.lunarlake,bios.meteorlake,bios.pantherlake,bios.pantherlake-p,bios.raptorlake,bios.tigerlake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</si>
  <si>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</si>
  <si>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</si>
  <si>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</si>
  <si>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</si>
  <si>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bios.alderlake,bios.arrowlake,bios.lunarlake,bios.meteorlake,bios.pantherlake,bios.pantherlake-p,bios.pantherlake-s,bios.pantherlake-u,bios.raptorlake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</si>
  <si>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</si>
  <si>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</si>
  <si>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</si>
  <si>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</si>
  <si>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[OCR] Verify Windows Recovery Environment (WinRE) Boot flow for One Click Recovery before and after CMS cycle</t>
  </si>
  <si>
    <t>CSS-IVE-146960</t>
  </si>
  <si>
    <t>Verify SUT wakes from S3 using Touchpad</t>
  </si>
  <si>
    <t>CSS-IVE-147135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</si>
  <si>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</si>
  <si>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</si>
  <si>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</si>
  <si>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</si>
  <si>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</si>
  <si>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</si>
  <si>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</si>
  <si>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</si>
  <si>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</si>
  <si>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</si>
  <si>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</si>
  <si>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</si>
  <si>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</si>
  <si>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</si>
  <si>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</si>
  <si>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</si>
  <si>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</si>
  <si>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</si>
  <si>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</si>
  <si>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BIOS ACPI debug messages capture with External release BIOS</t>
  </si>
  <si>
    <t>CSS-IVE-147221</t>
  </si>
  <si>
    <t>bios.arrowlake,bios.lunarlake,bios.meteorlake,bios.pantherlake,bios.pantherlake-p,bios.raptorlake,bios.raptorlake_refresh,bios.tigerlake</t>
  </si>
  <si>
    <t>Verify PRR should return MRST with WWAN enable/disable in BIOS</t>
  </si>
  <si>
    <t>CSS-IVE-147235</t>
  </si>
  <si>
    <t>Validate Boot flow with different GT frequency bins as per BIOS menu</t>
  </si>
  <si>
    <t>CSS-IVE-90637</t>
  </si>
  <si>
    <t>Verify IOSF2OCP Clock Gating Enable programming by BIOS</t>
  </si>
  <si>
    <t>CSS-IVE-117924</t>
  </si>
  <si>
    <t>Verify Fast Boot Timing is impacted not more than threshold limit with and without TPM enabled</t>
  </si>
  <si>
    <t>CSS-IVE-80274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</si>
  <si>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rocketlake,bios.tigerlake,bios.whiskeylake</t>
  </si>
  <si>
    <t>System should support Multi-Monitor with fast boot mode enabled</t>
  </si>
  <si>
    <t>CSS-IVE-80242</t>
  </si>
  <si>
    <t>System should overwrite fast boot when overclocking feature is enabled</t>
  </si>
  <si>
    <t>CSS-IVE-80254</t>
  </si>
  <si>
    <t>bios.alderlake,bios.arrowlake,bios.cannonlake,bios.coffeelake,bios.cometlake,bios.kabylake,bios.lunarlake,bios.meteorlake,bios.raptorlake,bios.rocketlake,bios.tigerlake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</si>
  <si>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</si>
  <si>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</si>
  <si>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</si>
  <si>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</si>
  <si>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</si>
  <si>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</si>
  <si>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</si>
  <si>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</si>
  <si>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</si>
  <si>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</si>
  <si>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bios.alderlake,bios.apollolake,bios.arrowlake,bios.cannonlake,bios.coffeelake,bios.cometlake,bios.geminilake,bios.icelake-client,bios.jasperlake,bios.kabylake,bios.kabylake_r,bios.lakefield,bios.lunarlake,bios.meteorlake,bios.pantherlake,bios.pantherlake-p,bios.raptorlake,bios.rocketlake,bios.tigerlake,bios.whiskeylake</t>
  </si>
  <si>
    <t>Verify BIOS enumerates all the "Reconnect Last Good Input Consoles" with fast boot enabled</t>
  </si>
  <si>
    <t>CSS-IVE-78744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</si>
  <si>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</si>
  <si>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</si>
  <si>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</si>
  <si>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</si>
  <si>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</si>
  <si>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lderlake</t>
  </si>
  <si>
    <t>Verify additional restart occurs when system falls back from fast boot to full boot with TPM enabled</t>
  </si>
  <si>
    <t>CSS-IVE-80322</t>
  </si>
  <si>
    <t>Full boot should move successful boot target to front of boot list for subsequent fast boots when fast boot is enabled</t>
  </si>
  <si>
    <t>CSS-IVE-80327</t>
  </si>
  <si>
    <t>Verify that system boots in fast boot mode with Silent boot enabled</t>
  </si>
  <si>
    <t>CSS-IVE-80333</t>
  </si>
  <si>
    <t>Verify whether GOP Init completes in less than threshold limit with Corporate IFWI</t>
  </si>
  <si>
    <t>CSS-IVE-92713</t>
  </si>
  <si>
    <t>bios.alderlake,bios.amberlake,bios.arrowlake,bios.cannonlake,bios.coffeelake,bios.cometlake,bios.kabylake,bios.kabylake_r,bios.lunarlake,bios.meteorlake,bios.raptorlake,bios.tigerlake,ifwi.amberlake,ifwi.cannonlake,ifwi.coffeelake,ifwi.cometlake,ifwi.kabylake,ifwi.kabylake_r,ifwi.tigerlake</t>
  </si>
  <si>
    <t>Verify whether GOP Init completes in less than threshold limit with Consumer IFWI</t>
  </si>
  <si>
    <t>CSS-IVE-92714</t>
  </si>
  <si>
    <t>bios.alderlake,bios.amberlake,bios.arrowlake,bios.cannonlake,bios.coffeelake,bios.cometlake,bios.icelake-client,bios.kabylake,bios.kabylake_r,bios.lakefield,bios.lunarlake,bios.meteorlake,bios.raptorlake,bios.tigerlake,bios.whiskeylake,ifwi.amberlake,ifwi.cannonlake,ifwi.coffeelake,ifwi.cometlake,ifwi.icelake,ifwi.kabylake,ifwi.kabylake_r,ifwi.lakefield,ifwi.tigerlake,ifwi.whiskeylake</t>
  </si>
  <si>
    <t>System should fall back to full boot from fast boot when it detects CPU replacement</t>
  </si>
  <si>
    <t>CSS-IVE-80241</t>
  </si>
  <si>
    <t>bios.alderlake,bios.arrowlake,bios.cannonlake,bios.coffeelake,bios.cometlake,bios.jasperlake,bios.kabylake,bios.lunarlake,bios.meteorlake,bios.pantherlake,bios.pantherlake-p,bios.raptorlake,bios.rocketlake,bios.tigerlake</t>
  </si>
  <si>
    <t>System should fall back to full boot from fast boot when BIOS detects RTC battery is drained out</t>
  </si>
  <si>
    <t>CSS-IVE-80152</t>
  </si>
  <si>
    <t>bios.alderlake,bios.amberlake,bios.apollolake,bios.arrowlake,bios.cannonlake,bios.coffeelake,bios.cometlake,bios.geminilake,bios.icelake-client,bios.kabylake,bios.kabylake_r,bios.lunarlake,bios.meteorlake,bios.raptorlake,bios.rocketlake,bios.tigerlake,bios.whiskeylake</t>
  </si>
  <si>
    <t>System should fall back to full boot from fast boot when it detects CMOS jumpers were shorted</t>
  </si>
  <si>
    <t>CSS-IVE-80111</t>
  </si>
  <si>
    <t>bios.alderlake,bios.amberlake,bios.apollolake,bios.arrowlake,bios.cannonlake,bios.coffeelake,bios.cometlake,bios.geminilake,bios.icelake-client,bios.kabylake,bios.kabylake_r,bios.lunarlake,bios.meteorlake,bios.raptorlake,bios.tigerlake,bios.whiskeylake</t>
  </si>
  <si>
    <t>BIOS should skip Optional ROM code during fast boot if device associated with Optional ROM is not present</t>
  </si>
  <si>
    <t>CSS-IVE-99235</t>
  </si>
  <si>
    <t>bios.alderlake,bios.apollolake,bios.geminilake,bios.lakefield,bios.raptorlake,bios.tigerlake</t>
  </si>
  <si>
    <t>Verify system attains responsiveness metrics with PTT enabled Corporate IFWI and with OS installed on NVMe SSD</t>
  </si>
  <si>
    <t>CSS-IVE-101008</t>
  </si>
  <si>
    <t>bios.alderlake,bios.amberlake,bios.arrowlake,bios.cannonlake,bios.coffeelake,bios.cometlake,bios.kabylake,bios.kabylake_r,bios.lunarlake,bios.meteorlake,bios.pantherlake,bios.pantherlake-p,bios.raptorlake,bios.tigerlake</t>
  </si>
  <si>
    <t>Verify system boots in Fast Boot mode when legacy device are connected</t>
  </si>
  <si>
    <t>CSS-IVE-117479</t>
  </si>
  <si>
    <t>bios.alderlake,bios.arrowlake,bios.broxton,bios.cannonlake,bios.coffeelake,bios.cometlake,bios.geminilake,bios.icelake-client,bios.jasperlake,bios.kabylake,bios.kabylake_r,bios.lakefield,bios.lunarlake,bios.meteorlake,bios.raptorlake,bios.rocketlake,bios.tigerlake,bios.whiskeylake</t>
  </si>
  <si>
    <t>Verify responsiveness metrics are attained by system flashed with PTT enabled Corporate IFWI + Internal performance BIOS with IOMMU enabled</t>
  </si>
  <si>
    <t>CSS-IVE-118814</t>
  </si>
  <si>
    <t>bios.alderlake,bios.arrowlake,bios.coffeelake,bios.cometlake,bios.icelake-client,bios.lunarlake,bios.meteorlake,bios.pantherlake,bios.pantherlake-p,bios.raptorlake,bios.rocketlake,bios.tigerlake,bios.whiskeylake</t>
  </si>
  <si>
    <t>Verify responsiveness metrics are attained by system flashed with PTT enabled Corporate IFWI + External performance BIOS with IOMMU enabled</t>
  </si>
  <si>
    <t>CSS-IVE-118816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</si>
  <si>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</si>
  <si>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</si>
  <si>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</si>
  <si>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</si>
  <si>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bios.alderlake,bios.arrowlake,bios.coffeelake,bios.cometlake,bios.icelake-client,bios.lunarlake,bios.meteorlake,bios.raptorlake,bios.rocketlake,bios.tigerlake,bios.whiskeylake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</si>
  <si>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</si>
  <si>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</si>
  <si>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</si>
  <si>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</si>
  <si>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</si>
  <si>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</si>
  <si>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</si>
  <si>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</si>
  <si>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</si>
  <si>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</si>
  <si>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</si>
  <si>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</si>
  <si>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</si>
  <si>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</si>
  <si>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bios.alderlake,bios.arrowlake,bios.coffeelake,bios.cometlake,bios.icelake-client,bios.lunarlake,bios.meteorlake,bios.raptorlake,bios.tigerlake,bios.whiskeylake</t>
  </si>
  <si>
    <t>Verify responsiveness metrics are attained with Pre-boot DMA protection enabled without any TBT devices plugged in</t>
  </si>
  <si>
    <t>CSS-IVE-118832</t>
  </si>
  <si>
    <t>Verify responsiveness metrics are attained by system flashed with  Pre_Prod IFWI + External BIOS and with IOMMU enabled with exception list</t>
  </si>
  <si>
    <t>CSS-IVE-118889</t>
  </si>
  <si>
    <t>bios.alderlake,bios.arrowlake,bios.coffeelake,bios.cometlake,bios.lunarlake,bios.meteorlake,bios.pantherlake,bios.pantherlake-p,bios.raptorlake,bios.whiskeylake</t>
  </si>
  <si>
    <t>Verify Quiet Boot is disabled when Fast Boot enabled in BIOS option</t>
  </si>
  <si>
    <t>CSS-IVE-122398</t>
  </si>
  <si>
    <t>bios.alderlake,bios.arrowlake,bios.jasperlake,bios.lunarlake,bios.meteorlake,bios.raptorlake</t>
  </si>
  <si>
    <t>Verify system attains responsiveness metrics with PTT enabled Corporate IFWI (1x32MB) size and with OS installed on NVMe SSD</t>
  </si>
  <si>
    <t>CSS-IVE-133065</t>
  </si>
  <si>
    <t>Verify that system boots successfully after enabling SAGV and MRC fast boot options</t>
  </si>
  <si>
    <t>CSS-IVE-70391</t>
  </si>
  <si>
    <t>bios.mem_decode</t>
  </si>
  <si>
    <t>Verify Enable/Disable MRC ECC Option in BIOS</t>
  </si>
  <si>
    <t>CSS-IVE-80051</t>
  </si>
  <si>
    <t>bios.alderlake,bios.arrowlake,bios.cannonlake,bios.coffeelake,bios.cometlake,bios.kabylake,bios.lunarlake,bios.meteorlake,bios.pantherlake,bios.pantherlake-p,bios.raptorlake,bios.raptorlake_refresh,bios.rocketlake,bios.tigerlake</t>
  </si>
  <si>
    <t>Verify  SUT boot with DDR5_SODIMM_1DPC_memory configuration at 4800 MHz</t>
  </si>
  <si>
    <t>CSS-IVE-114569</t>
  </si>
  <si>
    <t>bios.alderlake,bios.arrowlake,bios.meteorlake,bios.pantherlake,bios.pantherlake-p,bios.pantherlake-s,bios.raptorlake,bios.raptorlake_refresh,bios.tigerlake</t>
  </si>
  <si>
    <t>Verify MRC Safe Mode Option</t>
  </si>
  <si>
    <t>CSS-IVE-117490</t>
  </si>
  <si>
    <t>Verify if MRC Completion is successful</t>
  </si>
  <si>
    <t>CSS-IVE-117967</t>
  </si>
  <si>
    <t>bios.alderlake,bios.amberlake,bios.amberlake_7w,bios.arrowlake,bios.cannonlake,bios.coffeelake,bios.cometlake,bios.icelake-client,bios.jasperlake,bios.kabylake,bios.lunarlake,bios.meteorlake,bios.pantherlake,bios.pantherlake-p,bios.pantherlake-s,bios.raptorlake,bios.raptorlake_refresh,bios.rocketlake,bios.skylake,bios.tigerlake,bios.whiskeylake</t>
  </si>
  <si>
    <t>Verify MRC training</t>
  </si>
  <si>
    <t>CSS-IVE-117971</t>
  </si>
  <si>
    <t>Verify that MRC training is repeated after the Warm boot flow</t>
  </si>
  <si>
    <t>CSS-IVE-118698</t>
  </si>
  <si>
    <t>bios.alderlake,bios.amberlake,bios.arrowlake,bios.coffeelake,bios.cometlake,bios.icelake-client,bios.jasperlake,bios.kabylake,bios.lakefield,bios.lunarlake,bios.meteorlake,bios.raptorlake,bios.raptorlake_refresh,bios.rocketlake,bios.tigerlake,bios.whiskeylake</t>
  </si>
  <si>
    <t>Verify that MRC training  in LPDDR4x/DDR4 at 3200  with Gear 2</t>
  </si>
  <si>
    <t>CSS-IVE-133318</t>
  </si>
  <si>
    <t>Verify that MRC training  Gear 1 with Gear 2</t>
  </si>
  <si>
    <t>CSS-IVE-133640</t>
  </si>
  <si>
    <t>Verify MRC training for Rank 2 (2 channels and 2 DIMMS per channel Dual Rank(16GB and 32GB))</t>
  </si>
  <si>
    <t>CSS-IVE-133689</t>
  </si>
  <si>
    <t>bios.alderlake,bios.amberlake,bios.arrowlake,bios.lunarlake,bios.meteorlake,bios.pantherlake,bios.pantherlake-p,bios.raptorlake,bios.raptorlake_refresh,bios.rocketlake,bios.tigerlake</t>
  </si>
  <si>
    <t>Verify System memory using Windows Memory Diagnostics tool (Extended)</t>
  </si>
  <si>
    <t>CSS-IVE-135381</t>
  </si>
  <si>
    <t>bios.alderlake,bios.amb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</si>
  <si>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Verify Host serial port communications in OS and EDK Shell</t>
  </si>
  <si>
    <t>CSS-IVE-61847</t>
  </si>
  <si>
    <t>bios.alderlake,bios.amberlake,bios.arrowlake,bios.cannonlake,bios.coffeelake,bios.cometlake,bios.jasperlake,bios.kabylake,bios.kabylake_r,bios.lakefield,bios.lunarlake,bios.meteorlake,bios.pantherlake,bios.pantherlake-p,bios.raptorlake,bios.raptorlake_refresh,bios.rocketlake,bios.tigerlake,bios.whiskeylake,ifwi.amberlake,ifwi.arrowlake,ifwi.cannonlake,ifwi.coffeelake,ifwi.cometlake,ifwi.kabylake,ifwi.kabylake_r,ifwi.lakefield,ifwi.lunarlake,ifwi.meteorlake,ifwi.raptorlake,ifwi.tigerlake,ifwi.whiskeylake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</si>
  <si>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</si>
  <si>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</si>
  <si>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</si>
  <si>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</si>
  <si>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bios.alderlake,bios.apollolake,bios.arrowlake,bios.cannonlake,bios.coffeelake,bios.cometlake,bios.icelake-client,bios.jasperlake,bios.kabylake,bios.kabylake_r,bios.lakefield,bios.lunarlake,bios.meteorlake,bios.raptorlake,bios.raptorlake_refresh,bios.rocketlake,bios.tigerlake,bios.whiskeylake,ifwi.raptorlake_refresh</t>
  </si>
  <si>
    <t>Verify SUT shutdown (S5) when the Power Button is held in BIOS Setup with only   AC  plugged-in</t>
  </si>
  <si>
    <t>CSS-IVE-119476</t>
  </si>
  <si>
    <t>Verify DP functionality and hot plug through Type-C port in Pre and Post S3,S4 cycling</t>
  </si>
  <si>
    <t>CSS-IVE-76296</t>
  </si>
  <si>
    <t>bios.amberlake,bios.apollolake,bios.arrowlake,bios.broxton,bios.cannonlake,bios.coffeelake,bios.geminilake,bios.icelake-client,bios.jasperlake,bios.kabylake,bios.kabylake_r,bios.lakefield,bios.lunarlake,bios.meteorlake,bios.pantherlake,bios.pantherlake-p,bios.raptorlake,bios.raptorlake_refresh,bios.rocketlake,bios.tigerlake,bios.whiskeylake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</si>
  <si>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</si>
  <si>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</si>
  <si>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</si>
  <si>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</si>
  <si>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bios.alderlake,bios.amberlake,bios.arrowlake,bios.cannonlake,bios.coffeelake,bios.cometlake,bios.geminilake,bios.icelake-client,bios.jasperlake,bios.kabylake,bios.kabylake_r,bios.lakefield,bios.lunarlake,bios.meteorlake,bios.pantherlake-h,bios.pantherlake-p,bios.pantherlake-s,bios.pantherlake-u,bios.raptorlake,bios.raptorlake_refresh,bios.rocketlake,bios.tigerlake,bios.whiskeylake,ifwi.amberlake,ifwi.arrowlake,ifwi.cannonlake,ifwi.coffeelake,ifwi.cometlake,ifwi.geminilake,ifwi.icelake,ifwi.kabylake,ifwi.kabylake_r,ifwi.lakefield,ifwi.lunarlake,ifwi.meteorlake,ifwi.raptorlake,ifwi.raptorlake_refresh,ifwi.tigerlake,ifwi.whiskeylake</t>
  </si>
  <si>
    <t>Validate booting SUT with USB Type-C power adapter and without battery connected</t>
  </si>
  <si>
    <t>CSS-IVE-102263</t>
  </si>
  <si>
    <t>bios.pch,fw.ifwi.bios,fw.ifwi.ec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</si>
  <si>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arrowlake,ifwi.lunarlake,ifwi.meteorlake,ifwi.raptorlake,ifwi.raptorlake_refresh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</si>
  <si>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</si>
  <si>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</si>
  <si>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</si>
  <si>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</si>
  <si>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Validate system able to perform CMS cycle with USB Type-C power adapter and without battery connected</t>
  </si>
  <si>
    <t>CSS-IVE-144566</t>
  </si>
  <si>
    <t>bios.pch,bios.platform,fw.ifwi.bios</t>
  </si>
  <si>
    <t>bios.alderlake,bios.apollolake,bios.arrowlake,bios.cannonlake,bios.coffeelake,bios.cometlake,bios.icelake-client,bios.jasperlake,bios.kabylake,bios.kabylake_r,bios.lakefield,bios.lunarlake,bios.meteorlake,bios.pantherlake,bios.pantherlake-p,bios.raptorlake,bios.raptorlake_refresh,bios.tigerlake,bios.whiskeylake,ifwi.arrowlake,ifwi.lunarlake,ifwi.meteorlake,ifwi.raptorlake,ifwi.raptorlake_refresh</t>
  </si>
  <si>
    <t>Verify the SUT shuts down when the battery power falls less than the critical level (5%)</t>
  </si>
  <si>
    <t>CSS-IVE-71386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</si>
  <si>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arrowlake,ifwi.lunarlake,ifwi.meteorlake,ifwi.raptorlake,ifwi.raptorlake_refresh</t>
  </si>
  <si>
    <t>Verify battery charging is proper even after system crash -  AC  brick</t>
  </si>
  <si>
    <t>CSS-IVE-94237</t>
  </si>
  <si>
    <t>Verify EC detects the Sx transitions and configure the GPIOs without failure</t>
  </si>
  <si>
    <t>CSS-IVE-145302</t>
  </si>
  <si>
    <t>bios.alderlake,bios.apollolake,bios.arrowlake,bios.cannonlake,bios.coffeelake,bios.cometlake,bios.icelake-client,bios.jasperlake,bios.kabylake,bios.kabylake_r,bios.lakefield,bios.lunarlake,bios.meteorlake,bios.raptorlake,bios.raptorlake_refresh,bios.rocketlake,bios.tigerlake,bios.whiskeylake</t>
  </si>
  <si>
    <t>Verify Package TDP limit gets reflected correctly at OS</t>
  </si>
  <si>
    <t>CSS-IVE-72558</t>
  </si>
  <si>
    <t>Verify when the system is reset, the 7 segment POST code display is cleared</t>
  </si>
  <si>
    <t>CSS-IVE-71571</t>
  </si>
  <si>
    <t>[Golden Config] Verify CPU package C10 residence in AC and DC</t>
  </si>
  <si>
    <t>CSS-IVE-71594</t>
  </si>
  <si>
    <t>bios.cpu_pm,fw.ifwi.pmc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</si>
  <si>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tigerlake,bios.whiskeylake,ifwi.amberlake,ifwi.arrowlake,ifwi.cannonlake,ifwi.coffeelake,ifwi.cometlake,ifwi.icelake,ifwi.jasperlake,ifwi.kabylake,ifwi.kabylake_r,ifwi.lakefield,ifwi.lunarlake,ifwi.meteorlake,ifwi.raptorlake,ifwi.tigerlake,ifwi.whiskeylake</t>
  </si>
  <si>
    <t>Verify if BIOS provides option to enable/disable PCH/SOC energy reporting</t>
  </si>
  <si>
    <t>CSS-IVE-94262</t>
  </si>
  <si>
    <t>Verify SUT enters to S5 state at 10sec power button press with "Power Button Override=enable" option in BIOS</t>
  </si>
  <si>
    <t>CSS-IVE-100059</t>
  </si>
  <si>
    <t>Verify SUT enters to S5 state with legacy 4 &amp; 10 seconds power button press functionality</t>
  </si>
  <si>
    <t>CSS-IVE-100057</t>
  </si>
  <si>
    <t>Verify system stability on performing Deep Sx cycles  in AC mode</t>
  </si>
  <si>
    <t>CSS-IVE-71688</t>
  </si>
  <si>
    <t>bios.alderlake,bios.arrowlake,bios.coffeelake,bios.cometlake,bios.kabylake,bios.lunarlake,bios.meteorlake,bios.raptorlake,bios.rocketlake,bios.tigerlake,ifwi.arrowlake,ifwi.coffeelake,ifwi.cometlake,ifwi.kabylake,ifwi.lunarlake,ifwi.meteorlake,ifwi.raptorlake,ifwi.tigerlake</t>
  </si>
  <si>
    <t>Verify current PECI access mode can be configured from BIOS menu</t>
  </si>
  <si>
    <t>CSS-IVE-147208</t>
  </si>
  <si>
    <t>bios.alderlake,bios.arrowlake,bios.lunarlake,bios.meteorlake,bios.pantherlake-s,bios.raptorlake,bios.raptorlake_refresh</t>
  </si>
  <si>
    <t>Verify SUT wake from Pseudo G3 via TAD Alarm</t>
  </si>
  <si>
    <t>CSS-IVE-147129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</si>
  <si>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lderlake,ifwi.arrowlake,ifwi.meteorlake,ifwi.raptorlake_refresh</t>
  </si>
  <si>
    <t>[FSP2.0]: Verify FSP_SMBIOS_MEMORY_INFO_HOB table</t>
  </si>
  <si>
    <t>CSS-IVE-79821</t>
  </si>
  <si>
    <t>bios.fsp,bios.me,bios.pch,bios.platform,bios.sa</t>
  </si>
  <si>
    <t>[FSP] Boot mode Check (Full Configuration,S3 Resume &amp; S4 Resume)</t>
  </si>
  <si>
    <t>CSS-IVE-78919</t>
  </si>
  <si>
    <t>bios.cpu_pm,bios.fsp,bios.me,bios.platform,bios.sa</t>
  </si>
  <si>
    <t>bios.alderlake,bios.amberlake,bios.apollolake,bios.arrowlake,bios.cannonlake,bios.coffeelake,bios.cometlake,bios.icelake-client,bios.jasperlake,bios.kabylake,bios.kabylake_r,bios.lakefield,bios.lunarlake,bios.meteorlake,bios.pantherlake,bios.pantherlake-p,bios.raptorlake,bios.raptorlake_refresh,bios.rocketlake,bios.tigerlake,bios.whiskeylake</t>
  </si>
  <si>
    <t>[FSP2.0]: Verify FSP_SMBIOS_PROCESSOR_INFO HOB table</t>
  </si>
  <si>
    <t>CSS-IVE-79902</t>
  </si>
  <si>
    <t>bios.fsp,bios.pch,bios.platform,bios.sa</t>
  </si>
  <si>
    <t>[FSP2.0]: Verify FSP_SMBIOS_CACHE_INFO HOB table</t>
  </si>
  <si>
    <t>CSS-IVE-79905</t>
  </si>
  <si>
    <t>[FSP2.1]: Verify FSP_ERROR_INFO_HOB table</t>
  </si>
  <si>
    <t>CSS-IVE-122364</t>
  </si>
  <si>
    <t>bios.fsp,bios.pch,bios.platform</t>
  </si>
  <si>
    <t>[FSP] [GCC]:Boot mode Check (Full Configuration,S3 Resume &amp; S4 Resume)</t>
  </si>
  <si>
    <t>CSS-IVE-132859</t>
  </si>
  <si>
    <t>bios.cpu_pm,bios.fsp,bios.platform</t>
  </si>
  <si>
    <t>bios.alderlake,bios.amberlake,bios.apollolake,bios.arrowlake,bios.cannonlake,bios.coffeelake,bios.cometlake,bios.icelake-client,bios.jasperlake,bios.kabylake,bios.kabylake_r,bios.lunarlake,bios.meteorlake,bios.pantherlake,bios.pantherlake-p,bios.raptorlake,bios.raptorlake_refresh,bios.rocketlake,bios.whiskeylake</t>
  </si>
  <si>
    <t>[FSP][GCC]: Verify FSP_SMBIOS_MEMORY_INFO_HOB table</t>
  </si>
  <si>
    <t>CSS-IVE-132858</t>
  </si>
  <si>
    <t>bios.alderlake,bios.amb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whiskeylake</t>
  </si>
  <si>
    <t>[FSP][GCC]: Verify FSP_SMBIOS_PROCESSOR_INFO HOB table</t>
  </si>
  <si>
    <t>CSS-IVE-132860</t>
  </si>
  <si>
    <t>[FSP][GCC]: Verify FSP_SMBIOS_CACHE_INFO HOB table</t>
  </si>
  <si>
    <t>CSS-IVE-132861</t>
  </si>
  <si>
    <t>[FSP][GCC]: Bios should not send End of POST (EOP) MEI message during ME Recovery/Error/Disabled state</t>
  </si>
  <si>
    <t>CSS-IVE-132869</t>
  </si>
  <si>
    <t>bios.alderlake,bios.arrowlake,bios.icelake-client,bios.meteorlake,bios.raptorlake,bios.tigerlake</t>
  </si>
  <si>
    <t>[FSP2.1][GCC]: Verify FSP_ERROR_INFO_HOB table</t>
  </si>
  <si>
    <t>CSS-IVE-132897</t>
  </si>
  <si>
    <t>bios.alderlake,bios.arrowlake,bios.cometlake,bios.jasperlake,bios.lunarlake,bios.meteorlake,bios.raptorlake,bios.raptorlake_refresh,bios.rocketlake</t>
  </si>
  <si>
    <t>GMM/GNA Device Driver Installation and Uninstallation</t>
  </si>
  <si>
    <t>CSS-IVE-50449</t>
  </si>
  <si>
    <t>bios.alderlake,bios.apollolake,bios.arrowlake,bios.cannonlake,bios.coffeelake,bios.icelake-client,bios.kabylake,bios.meteorlake,bios.raptorlake,bios.raptorlake_refresh,bios.rocketlake,bios.tigerlake</t>
  </si>
  <si>
    <t>Verify Onboard eDP display on post S3 and S4 cycle</t>
  </si>
  <si>
    <t>CSS-IVE-50451</t>
  </si>
  <si>
    <t>Verify OS boot with different aperture size</t>
  </si>
  <si>
    <t>CSS-IVE-50455</t>
  </si>
  <si>
    <t>bios.alderlake,bios.amberlake,bios.apollolake,bios.arrowlake,bios.broxton,bios.cannonlake,bios.coffeelake,bios.geminilake,bios.icelake-client,bios.kabylake,bios.kabylake_r,bios.lunarlake,bios.meteorlake,bios.raptorlake,bios.raptorlake_refresh,bios.rocketlake,bios.tigerlake,bios.whiskeylake</t>
  </si>
  <si>
    <t>Verify that system resumes after S3/S4 states in Hybrid Graphics (HG) mode with eDP display connected in SUT</t>
  </si>
  <si>
    <t>CSS-IVE-62444</t>
  </si>
  <si>
    <t>bios.sa,fw.ifwi.bios</t>
  </si>
  <si>
    <t>bios.alderlake,bios.arrowlake,bios.cannonlake,bios.coffeelake,bios.cometlake,bios.icelake-client,bios.kabylake,bios.meteorlake,bios.pantherlake,bios.pantherlake-p,bios.raptorlake,bios.rocketlake,bios.tigerlake,ifwi.arrowlake,ifwi.cannonlake,ifwi.coffeelake,ifwi.cometlake,ifwi.icelake,ifwi.kabylake,ifwi.meteorlake,ifwi.raptorlake,ifwi.tigerlake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</si>
  <si>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</si>
  <si>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</si>
  <si>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</si>
  <si>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</si>
  <si>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bios.alderlake,bios.apollolake,bios.arrowlake,bios.broxton,bios.geminilake,bios.lunarlake,bios.meteorlake,bios.raptorlake,bios.raptorlake_refresh,bios.rocketlake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</si>
  <si>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</si>
  <si>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</si>
  <si>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</si>
  <si>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</si>
  <si>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rrowlake,ifwi.meteorlake</t>
  </si>
  <si>
    <t>Verify Subsystem IDs for native devices in CPU-SA</t>
  </si>
  <si>
    <t>CSS-IVE-44343</t>
  </si>
  <si>
    <t>bios.alderlake,bios.amberlake,bios.arrowlake,bios.jasperlake,bios.lakefield,bios.meteorlake,bios.pantherlake,bios.pantherlake-p,bios.raptorlake,bios.tigerlake</t>
  </si>
  <si>
    <t>Verify Dual display is working in Clone mode (onboard eDP+HDMI)</t>
  </si>
  <si>
    <t>CSS-IVE-67824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</si>
  <si>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</t>
  </si>
  <si>
    <t>Verify Audio playback from HDMI monitor</t>
  </si>
  <si>
    <t>CSS-IVE-67858</t>
  </si>
  <si>
    <t>bios.alderlake,bios.amberlake,bios.amberlake_7w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</t>
  </si>
  <si>
    <t>Verify max resolution with different display monitors</t>
  </si>
  <si>
    <t>CSS-IVE-69091</t>
  </si>
  <si>
    <t>bios.alderlake,bios.apollolake,bios.arrowlake,bios.broxton,bios.cannonlake,bios.geminilake,bios.kabylake,bios.lunarlake,bios.meteorlake,bios.raptorlake,bios.raptorlake_refresh,bios.rocketlake,bios.tigerlake,ifwi.apollolake,ifwi.arrowlake,ifwi.broxton,ifwi.cannonlake,ifwi.geminilake,ifwi.kabylake,ifwi.lunarlake,ifwi.meteorlake,ifwi.raptorlake,ifwi.raptorlake_refresh,ifwi.tigerlake</t>
  </si>
  <si>
    <t>Verify Hot-Plug HDMI display when booted with eDP connected</t>
  </si>
  <si>
    <t>CSS-IVE-69483</t>
  </si>
  <si>
    <t>bios.alderlake,bios.apollolake,bios.arrowlake,bios.broxton,bios.cannonlake,bios.cometlake,bios.geminilake,bios.icelake-client,bios.kabylake,bios.lunarlake,bios.meteorlake,bios.raptorlake,bios.rocketlake,bios.tigerlake,ifwi.arrowlake,ifwi.meteorlake</t>
  </si>
  <si>
    <t>Verify Dual display in Extended mode with eDP+HDMI with supported max and min resolutions</t>
  </si>
  <si>
    <t>CSS-IVE-70022</t>
  </si>
  <si>
    <t>bios.alderlake,bios.arrowlake,bios.broxton,bios.cometlake,bios.geminilake,bios.icelake-client,bios.jasperlake,bios.lunarlake,bios.meteorlake,bios.raptorlake,bios.rocketlake,bios.tigerlake</t>
  </si>
  <si>
    <t>Verify onboard graphics driver can be Installed/uninstalled without issue in single display mode for eDP</t>
  </si>
  <si>
    <t>CSS-IVE-70952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</si>
  <si>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bios.alderlake,bios.amberlake,bios.arrowlake,bios.cannonlake,bios.coffeelake,bios.cometlake,bios.icelake-client,bios.kabylake,bios.kabylake_r,bios.lunarlake,bios.meteorlake,bios.raptorlake,bios.raptorlake_refresh,bios.rocketlake,bios.tigerlake,bios.whiskeylake,ifwi.cometlake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</si>
  <si>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</si>
  <si>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</si>
  <si>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</si>
  <si>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</si>
  <si>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</si>
  <si>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</si>
  <si>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</si>
  <si>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</si>
  <si>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bios.alderlake,bios.arrowlake,bios.cannonlake,bios.coffeelake,bios.cometlake,bios.glacierfalls,bios.kabylake,bios.lunarlake,bios.meteorlake,bios.pantherlake-s,bios.raptorlake,bios.rocketlake,bios.tigerlake</t>
  </si>
  <si>
    <t>Check that BIOS shall display an option to set the DMI ports</t>
  </si>
  <si>
    <t>CSS-IVE-71128</t>
  </si>
  <si>
    <t>bios.alderlake,bios.cannonlake,bios.coffeelake,bios.cometlake,bios.kabylake,bios.raptorlake</t>
  </si>
  <si>
    <t>Verify S3,S4 &amp; S5 entry &amp; exit using power button in Hybrid Graphics (HG) mode</t>
  </si>
  <si>
    <t>CSS-IVE-71189</t>
  </si>
  <si>
    <t>bios.alderlake,bios.amberlake,bios.arrowlake,bios.cannonlake,bios.coffeelake,bios.icelake-client,bios.jasperlake,bios.kabylake,bios.meteorlake,bios.pantherlake,bios.pantherlake-p,bios.raptorlake,bios.rocketlake,bios.tigerlake</t>
  </si>
  <si>
    <t>Check Enable/Disable Gen2 option in BIOS for its functionality</t>
  </si>
  <si>
    <t>CSS-IVE-71251</t>
  </si>
  <si>
    <t>bios.alderlake,bios.cannonlake,bios.coffeelake,bios.cometlake,bios.kabylake,bios.raptorlake,bios.rocketlake,bios.tigerlake</t>
  </si>
  <si>
    <t>Validate system stability, S3, S4 and cold boot with 3D benchmark tool with Hybrid Gfx mode on PCIE-X4 slot</t>
  </si>
  <si>
    <t>CSS-IVE-80935</t>
  </si>
  <si>
    <t>bios.alderlake,bios.amberlake,bios.apollolake,bios.arrowlake,bios.geminilake,bios.icelake-client,bios.meteorlake,bios.pantherlake,bios.pantherlake-p,bios.raptorlake,bios.rocketlake,bios.tigerlake,ifwi.apollolake,ifwi.arrowlake,ifwi.geminilake,ifwi.icelake,ifwi.meteorlake,ifwi.raptorlake,ifwi.tigerlake</t>
  </si>
  <si>
    <t>Validate Discrete Graphics enumeration at OS with DGFX card connected</t>
  </si>
  <si>
    <t>CSS-IVE-80985</t>
  </si>
  <si>
    <t>bios.alderlake,bios.amberlake,bios.apollolake,bios.arrowlake,bios.cometlake,bios.geminilake,bios.icelake-client,bios.meteorlake,bios.pantherlake,bios.pantherlake-p,bios.raptorlake,bios.rocketlake,bios.tigerlake,ifwi.apollolake,ifwi.arrowlake,ifwi.cometlake,ifwi.geminilake,ifwi.icelake,ifwi.meteorlake,ifwi.raptorlake,ifwi.tigerlake</t>
  </si>
  <si>
    <t>Check if BIOS supports the multiple DVMT option</t>
  </si>
  <si>
    <t>CSS-IVE-92231</t>
  </si>
  <si>
    <t>bios.alderlake,bios.amberlake,bios.arrowlake,bios.cannonlake,bios.coffeelake,bios.cometlake,bios.kabylake,bios.kabylake_r,bios.lunarlake,bios.meteorlake,bios.raptorlake,bios.raptorlake_refresh,bios.rocketlake,bios.tigerlake,bios.whiskeylake</t>
  </si>
  <si>
    <t>Verify ISP camera device enumeration when GFX driver uninstalled using USB Camera</t>
  </si>
  <si>
    <t>CSS-IVE-86899</t>
  </si>
  <si>
    <t>bios.alderlake,bios.apollolake,bios.arrowlake,bios.broxton,bios.lunarlake,bios.meteorlake,bios.raptorlake,bios.raptorlake_refresh,bios.rocketlake</t>
  </si>
  <si>
    <t>Check Audio DSP state in BIOS during CMS</t>
  </si>
  <si>
    <t>CSS-IVE-80320</t>
  </si>
  <si>
    <t>bios.alderlake,bios.amberlake,bios.arrowlake,bios.cannonlake,bios.coffeelake,bios.cometlake,bios.icelake-client,bios.jasperlake,bios.kabylake,bios.lunarlake,bios.meteorlake,bios.raptorlake,bios.raptorlake_refresh,bios.rocketlake,bios.tigerlake,bios.whiskeylake</t>
  </si>
  <si>
    <t>Verify Audio offload While in Connected MOS</t>
  </si>
  <si>
    <t>CSS-IVE-95211</t>
  </si>
  <si>
    <t>bios.alderlake,bios.arrowlake,bios.cannonlake,bios.coffeelake,bios.lunarlake,bios.meteorlake,bios.raptorlake,bios.raptorlake_refresh,bios.rocketlake,bios.tigerlake,bios.whiskeylake</t>
  </si>
  <si>
    <t>Verify C10 and Slp-S0 is achieved in Connected MOS during video play back</t>
  </si>
  <si>
    <t>CSS-IVE-95308</t>
  </si>
  <si>
    <t>Verify CD Clock menu options in BIOS &amp; its functionality in OS</t>
  </si>
  <si>
    <t>CSS-IVE-97227</t>
  </si>
  <si>
    <t>bios.alderlake,bios.arrowlake,bios.cannonlake,bios.coffeelake,bios.cometlake,bios.icelake-client,bios.jasperlake,bios.meteorlake,bios.pantherlake,bios.pantherlake-p,bios.raptorlake,bios.raptorlake_refresh,bios.rocketlake,bios.tigerlake,bios.whiskeylake</t>
  </si>
  <si>
    <t>Verify PlayReady3 functionality before &amp; after S3</t>
  </si>
  <si>
    <t>CSS-IVE-97319</t>
  </si>
  <si>
    <t>bios.alderlake,bios.arrowlake,bios.cometlake,bios.geminilake,bios.icelake-client,bios.kabylake,bios.kabylake_r,bios.lunarlake,bios.meteorlake,bios.raptorlake,bios.raptorlake_refresh,bios.rocketlake,bios.tigerlake</t>
  </si>
  <si>
    <t>Verify PlayReady3 functionality before &amp; after S4</t>
  </si>
  <si>
    <t>CSS-IVE-97320</t>
  </si>
  <si>
    <t>bios.alderlake,bios.arrowlake,bios.coffeelake,bios.cometlake,bios.icelake-client,bios.jasperlake,bios.kabylake,bios.kabylake_r,bios.lakefield,bios.lunarlake,bios.meteorlake,bios.raptorlake,bios.raptorlake_refresh,bios.rocketlake,bios.tigerlake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</si>
  <si>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</si>
  <si>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</si>
  <si>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</si>
  <si>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</si>
  <si>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bios.alderlake,bios.icelake-client,bios.jasperlake,bios.raptorlake,bios.raptorlake_refresh,bios.rocketlake,bios.tigerlake</t>
  </si>
  <si>
    <t>Verify timeout errors should not get registered in Event Viewer during AV Stress testing over WIFI connectivity</t>
  </si>
  <si>
    <t>CSS-IVE-97332</t>
  </si>
  <si>
    <t>Verify 5K Display Panel enumeration in Device Manager</t>
  </si>
  <si>
    <t>CSS-IVE-99446</t>
  </si>
  <si>
    <t>bios.alderlake,bios.arrowlake,bios.cannonlake,bios.coffeelake,bios.icelake-client,bios.jasperlake,bios.lunarlake,bios.meteorlake,bios.raptorlake,bios.raptorlake_refresh,bios.rocketlake,bios.tigerlake,bios.whiskeylake</t>
  </si>
  <si>
    <t>Verify Display Audio Driver enumeration with 5K Panel</t>
  </si>
  <si>
    <t>CSS-IVE-99453</t>
  </si>
  <si>
    <t>bios.alderlake,bios.arrowlake,bios.icelake-client,bios.jasperlake,bios.lunarlake,bios.meteorlake,bios.raptorlake,bios.raptorlake_refresh,bios.rocketlake,bios.tigerlake</t>
  </si>
  <si>
    <t>Verify Audio Play back on 5K Display Panel</t>
  </si>
  <si>
    <t>CSS-IVE-99454</t>
  </si>
  <si>
    <t>Verify HEVC (H.265) video playback in OS</t>
  </si>
  <si>
    <t>CSS-IVE-99716</t>
  </si>
  <si>
    <t>bios.alderlake,bios.arrowlake,bios.cannonlake,bios.coffeelake,bios.jasperlake,bios.lakefield,bios.lunarlake,bios.meteorlake,bios.raptorlake,bios.raptorlake_refresh,bios.rocketlake,bios.tigerlake,bios.whiskeylake</t>
  </si>
  <si>
    <t>Verify display behaviour with HDMI Plug\Unplug HDMI during Video play back</t>
  </si>
  <si>
    <t>CSS-IVE-99731</t>
  </si>
  <si>
    <t>bios.alderlake,bios.arrowlake,bios.cannonlake,bios.coffeelake,bios.cometlake,bios.lunarlake,bios.meteorlake,bios.raptorlake,bios.raptorlake_refresh,bios.rocketlake,bios.tigerlake,bios.whiskeylake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</si>
  <si>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</si>
  <si>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</si>
  <si>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</si>
  <si>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</si>
  <si>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</si>
  <si>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</si>
  <si>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</si>
  <si>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</si>
  <si>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</si>
  <si>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</si>
  <si>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bios.alderlake,bios.apollolake,bios.arrowlake,bios.broxton,bios.cannonlake,bios.coffeelake,bios.cometlake,bios.icelake-client,bios.jasperlake,bios.kabylake,bios.kabylake_r,bios.lunarlake,bios.meteorlake,bios.pantherlake,bios.pantherlake-p,bios.raptorlake,bios.raptorlake_refresh,bios.rocketlake,bios.tigerlake,bios.whiskeylake</t>
  </si>
  <si>
    <t>Verify Dual display functionality in Extended mode (onboard eDP+HDMI) Post Connected MOS cycle</t>
  </si>
  <si>
    <t>CSS-IVE-101251</t>
  </si>
  <si>
    <t>bios.alderlake,bios.apollolake,bios.arrowlake,bios.broxton,bios.cannonlake,bios.coffeelake,bios.cometlake,bios.icelake-client,bios.jasperlake,bios.kabylake,bios.kabylake_r,bios.lunarlake,bios.meteorlake,bios.pantherlake,bios.pantherlake-p,bios.raptorlake,bios.rocketlake,bios.tigerlake,bios.whiskeylake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</si>
  <si>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</si>
  <si>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</si>
  <si>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</si>
  <si>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</si>
  <si>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bios.alderlake,bios.arrowlake,bios.cannonlake,bios.coffeelake,bios.cometlake,bios.icelake-client,bios.jasperlake,bios.lunarlake,bios.meteorlake,bios.raptorlake,bios.rocketlake,bios.tigerlake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</si>
  <si>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</si>
  <si>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</si>
  <si>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</si>
  <si>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</si>
  <si>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bios.alderlake,bios.arrowlake,bios.cannonlake,bios.coffeelake,bios.cometlake,bios.icelake-client,bios.jasperlake,bios.lunarlake,bios.meteorlake,bios.raptorlake,bios.raptorlake_refresh,bios.rocketlake,bios.tigerlake</t>
  </si>
  <si>
    <t>Verify Audio recording and playback over 3.5mm-Jack-Headset (via Soundwire), pre and post S0i3 cycle</t>
  </si>
  <si>
    <t>CSS-IVE-114673</t>
  </si>
  <si>
    <t>bios.pch,fw.ifwi.bios,fw.ifwi.pchc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</si>
  <si>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lunarlake,ifwi.meteorlake,ifwi.raptorlake,ifwi.raptorlake_refresh</t>
  </si>
  <si>
    <t>Verify Audio recording and playback over 3.5mm-Jack-Headset (via Soundwire), pre and post S3 cycle</t>
  </si>
  <si>
    <t>CSS-IVE-114676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</si>
  <si>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</si>
  <si>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</si>
  <si>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</si>
  <si>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</si>
  <si>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bios.alderlake,bios.apollolake,bios.arrowlake,bios.broxton,bios.cannonlake,bios.coffeelake,bios.cometlake,bios.geminilake,bios.icelake-client,bios.jasperlake,bios.kabylake,bios.kabylake_r,bios.lunarlake,bios.meteorlake,bios.pantherlake,bios.pantherlake-p,bios.raptorlake,bios.rocketlake,bios.tigerlake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</si>
  <si>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</si>
  <si>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</si>
  <si>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</si>
  <si>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</si>
  <si>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4 simultaneous displays (DP/HDMI/Type-C)functionality in OS</t>
  </si>
  <si>
    <t>CSS-IVE-115584</t>
  </si>
  <si>
    <t>bios.alderlake,bios.arrowlake,bios.icelake-client,bios.lunarlake,bios.meteorlake,bios.raptorlake,bios.raptorlake_refresh,bios.rocketlake</t>
  </si>
  <si>
    <t>Verify simultaneous 4 display (DP/HDMI2.0/Type-C) functionality in OS post S3 Cycle</t>
  </si>
  <si>
    <t>CSS-IVE-115586</t>
  </si>
  <si>
    <t>Verify simultaneous 4 display (DP/HDMI2.0/Type-C)functionality in OS Post S4 cycle</t>
  </si>
  <si>
    <t>CSS-IVE-115587</t>
  </si>
  <si>
    <t>Verify simultaneous 4 display (DP/HDMI2.0/Type-C) functionality in OS Post S5 cycle</t>
  </si>
  <si>
    <t>CSS-IVE-115588</t>
  </si>
  <si>
    <t>Verify simultaneous 4 display (DP/HDMI2.0/Type-C)functionality in OS Post S0i3 cycle</t>
  </si>
  <si>
    <t>CSS-IVE-115589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</si>
  <si>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</si>
  <si>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</si>
  <si>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</si>
  <si>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</si>
  <si>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</si>
  <si>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</si>
  <si>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</si>
  <si>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</si>
  <si>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</si>
  <si>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</si>
  <si>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</si>
  <si>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</si>
  <si>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</si>
  <si>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</si>
  <si>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</si>
  <si>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</si>
  <si>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Verify DMAR Table is not populated on Disabling VT-D in Intel test menu enabled BIOS</t>
  </si>
  <si>
    <t>CSS-IVE-50459</t>
  </si>
  <si>
    <t>bios.alderlake,bios.arrowlake,bios.cannonlake,bios.coffeelake,bios.cometlake,bios.icelake-client,bios.jasperlake,bios.kabylake,bios.lunarlake,bios.meteorlake,bios.pantherlake,bios.pantherlake-p,bios.raptorlake,bios.raptorlake_refresh,bios.rocketlake,bios.tigerlake,bios.whiskeylake</t>
  </si>
  <si>
    <t>Verify DashG device RTD3 status on PCI Express</t>
  </si>
  <si>
    <t>CSS-IVE-119040</t>
  </si>
  <si>
    <t>bios.alderlake,bios.arrowlake,bios.meteorlake,bios.pantherlake,bios.pantherlake-p,bios.raptorlake,bios.raptorlake_refresh</t>
  </si>
  <si>
    <t>Verify C10 and Slp-S0 is achieved in Connected MOS during 3D Game with HG Card connected on PCIe x4 Gen4 slot</t>
  </si>
  <si>
    <t>CSS-IVE-119072</t>
  </si>
  <si>
    <t>bios.alderlake,bios.arrowlake,bios.meteorlake,bios.pantherlake,bios.pantherlake-p,bios.raptorlake,bios.raptorlake_refresh,bios.tigerlake,ifwi.arrowlake,ifwi.meteorlake,ifwi.raptorlake,ifwi.raptorlake_refresh,ifwi.tigerlake</t>
  </si>
  <si>
    <t>Verify 4K HDR Display Panel enumeration in OS over onboard HDMI and DP port</t>
  </si>
  <si>
    <t>CSS-IVE-133114</t>
  </si>
  <si>
    <t>Verify Gen4 Discrete Graphics basic functionality over x16 PEG slot with CMS cycles</t>
  </si>
  <si>
    <t>CSS-IVE-133856</t>
  </si>
  <si>
    <t>bios.sa,fw.ifwi.bios,fw.ifwi.pmc</t>
  </si>
  <si>
    <t>bios.alderlake,bios.arrowlake,bios.meteorlake,bios.pantherlake,bios.pantherlake-p,bios.raptorlake,bios.rocketlake,bios.tigerlake,ifwi.arrowlake,ifwi.meteorlake,ifwi.raptorlake</t>
  </si>
  <si>
    <t>Verify Gen4 Discrete Graphics basic functionality on x16 PEG slot with DMS cycles</t>
  </si>
  <si>
    <t>CSS-IVE-133862</t>
  </si>
  <si>
    <t>bios.alderlake,bios.arrowlake,bios.meteorlake,bios.pantherlake,bios.pantherlake-p,bios.raptorlake,bios.rocketlake,bios.tigerlake,ifwi.arrowlake,ifwi.meteorlake,ifwi.raptorlake,ifwi.tigerlake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</si>
  <si>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</si>
  <si>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</si>
  <si>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</si>
  <si>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</si>
  <si>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Gfx BIOS Work around to enable proper GAW (Guest Address Width)/HAW (Host Address Width) support</t>
  </si>
  <si>
    <t>CSS-IVE-135390</t>
  </si>
  <si>
    <t>bios.alderlake,bios.meteorlake,bios.raptorlake,bios.raptorlake_refresh</t>
  </si>
  <si>
    <t>Verify Hybrid Gfx resume over PCIe x16 PEG slot, pre and post warm/cold reset cycles</t>
  </si>
  <si>
    <t>CSS-IVE-140340</t>
  </si>
  <si>
    <t>bios.alderlake,bios.arrowlake,bios.meteorlake,bios.pantherlake,bios.pantherlake-p,bios.raptorlake,bios.raptorlake_refresh,ifwi.arrowlake,ifwi.meteorlake,ifwi.raptorlake,ifwi.raptorlake_refresh</t>
  </si>
  <si>
    <t>Verify HD/FHD USB camera is functioning properly for capturing images &amp; video with pre and post S3 cycles</t>
  </si>
  <si>
    <t>CSS-IVE-145020</t>
  </si>
  <si>
    <t>bios.alderlake,bios.arrowlake,bios.jasperlake,bios.lunarlake,bios.meteorlake,bios.pantherlake-p,bios.pantherlake-u,bios.raptorlake,bios.raptorlake_refresh,bios.rocketlake,bios.tigerlake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</si>
  <si>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</si>
  <si>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</si>
  <si>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</si>
  <si>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</si>
  <si>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bios.alderlake,bios.arrowlake,bios.jasperlake,bios.lunarlake,bios.meteorlake,bios.pantherlake,bios.pantherlake-p,bios.raptorlake,bios.rocketlake</t>
  </si>
  <si>
    <t>Verify PlayReady3 functionality on external display pre and post S4 and S5 cycle</t>
  </si>
  <si>
    <t>CSS-IVE-145190</t>
  </si>
  <si>
    <t>bios.alderlake,bios.arrowlake,bios.jasperlake,bios.lunarlake,bios.meteorlake,bios.raptorlake,bios.raptorlake_refresh,bios.rocketlake</t>
  </si>
  <si>
    <t>Verify Gen4 HG basic functionality on x16 PEG slot pre and post S4 and S5 cycles</t>
  </si>
  <si>
    <t>CSS-IVE-145196</t>
  </si>
  <si>
    <t>bios.alderlake,bios.arrowlake,bios.meteorlake,bios.pantherlake,bios.pantherlake-p,bios.raptorlake,bios.raptorlake_refresh,bios.rocketlake,bios.tigerlake,ifwi.arrowlake,ifwi.meteorlake,ifwi.raptorlake,ifwi.raptorlake_refresh,ifwi.tigerlake</t>
  </si>
  <si>
    <t>Verify Gen4 Discrete Graphics basic functionality on x16 PEG slot pre and post Sx, warm and cold reboot cycles</t>
  </si>
  <si>
    <t>CSS-IVE-145212</t>
  </si>
  <si>
    <t>bios.alderlake,bios.arrowlake,bios.meteorlake,bios.pantherlake,bios.pantherlake-p,bios.raptorlake,bios.rocketlake,bios.tigerlake,ifwi.alderlake,ifwi.arrowlake,ifwi.meteorlake,ifwi.raptorlake,ifwi.rocketlake,ifwi.tigerlake</t>
  </si>
  <si>
    <t>Verify Gen4 Discrete Graphics basic functionality on x4 PCIE Gen4 slot with warm and cold reboot cycles</t>
  </si>
  <si>
    <t>CSS-IVE-145393</t>
  </si>
  <si>
    <t>bios.alderlake,bios.arrowlake,bios.meteorlake,bios.pantherlake,bios.pantherlake-p,bios.raptorlake,bios.rocketlake,ifwi.arrowlake,ifwi.meteorlake,ifwi.raptorlake</t>
  </si>
  <si>
    <t>Verify APIC table under ACPI table</t>
  </si>
  <si>
    <t>CSS-IVE-44544</t>
  </si>
  <si>
    <t>bios.alderlake,bios.apollolake,bios.arrowlake,bios.broxton,bios.cannonlake,bios.coffeelake,bios.geminilake,bios.icelake-client,bios.jasperlake,bios.kabylake,bios.lakefield,bios.lunarlake,bios.meteorlake,bios.raptorlake,bios.raptorlake_refresh,bios.rocketlake,bios.tigerlake</t>
  </si>
  <si>
    <t>Verify the post code value and the sequence while booting to OS</t>
  </si>
  <si>
    <t>CSS-IVE-44421</t>
  </si>
  <si>
    <t>Validate EFI reset Cycle (5 times)</t>
  </si>
  <si>
    <t>CSS-IVE-44344</t>
  </si>
  <si>
    <t>bios.alderlake,bios.amberlake,bios.apollolake,bios.arrowlake,bios.broxton,bios.cannonlake,bios.coffeelake,bios.cometlake,bios.geminilake,bios.icelake-client,bios.kabylake,bios.kabylake_r,bios.lakefield,bios.lunarlake,bios.meteorlake,bios.raptorlake,bios.rocketlake,bios.tigerlake,bios.whiskeylake</t>
  </si>
  <si>
    <t>Verify if system can display debug messages on Debug BIOS and does not display debug messages on Release BIOS</t>
  </si>
  <si>
    <t>CSS-IVE-44396</t>
  </si>
  <si>
    <t>bios.alderlake,bios.amberlake,bios.arrowlake,bios.broxton,bios.cannonlake,bios.coffeelake,bios.cometlake,bios.icelake-client,bios.kabylake,bios.kabylake_r,bios.lakefield,bios.lunarlake,bios.meteorlake,bios.raptorlake,bios.raptorlake_refresh,bios.whiskeylake</t>
  </si>
  <si>
    <t>Verify BIOS reports OEM ID "INTEL" via ACPI Table</t>
  </si>
  <si>
    <t>CSS-IVE-50534</t>
  </si>
  <si>
    <t>Verification of PEP ACPI device enablement</t>
  </si>
  <si>
    <t>CSS-IVE-62138</t>
  </si>
  <si>
    <t>bios.alderlake,bios.apollolake,bios.arrowlake,bios.broxton,bios.cannonlake,bios.coffeelake,bios.cometlake,bios.icelake-client,bios.jasperlake,bios.lakefield,bios.lunarlake,bios.meteorlake,bios.pantherlake,bios.pantherlake-p,bios.raptorlake,bios.raptorlake_refresh,bios.rocketlake,bios.tigerlake,bios.whiskeylake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</si>
  <si>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</si>
  <si>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</si>
  <si>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</si>
  <si>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</si>
  <si>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</si>
  <si>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</si>
  <si>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</si>
  <si>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CSS-IVE-62158</t>
  </si>
  <si>
    <t>bios.alderlake,bios.amberlake,bios.arrowlake,bios.cannonlake,bios.coffeelake,bios.cometlake,bios.kabylake,bios.kabylake_r,bios.lunarlake,bios.meteorlake,bios.raptorlake,bios.raptorlake_refresh,bios.whiskeylake</t>
  </si>
  <si>
    <t>verify CLKREQ to Root Port Mapping</t>
  </si>
  <si>
    <t>CSS-IVE-62163</t>
  </si>
  <si>
    <t>bios.alderlake,bios.arrowlake,bios.cannonlake,bios.coffeelake,bios.cometlake,bios.icelake-client,bios.jasperlake,bios.kabylake,bios.kabylake_r,bios.lunarlake,bios.meteorlake,bios.pantherlake,bios.pantherlake-p,bios.pantherlake-u,bios.raptorlake,bios.rocketlake,bios.tigerlake,bios.whiskeylake</t>
  </si>
  <si>
    <t>Verify that all SATA (direct connect) ports are functional without issue</t>
  </si>
  <si>
    <t>CSS-IVE-64368</t>
  </si>
  <si>
    <t>bios.alderlake,bios.apollolake,bios.arrowlake,bios.cannonlake,bios.coffeelake,bios.geminilake,bios.kabylake,bios.lunarlake,bios.meteorlake,bios.raptorlake,bios.rocketlake,bios.whiskeylake</t>
  </si>
  <si>
    <t>Verify  HDA\iDisplay link frequency set  after S3/S4</t>
  </si>
  <si>
    <t>CSS-IVE-64369</t>
  </si>
  <si>
    <t>bios.alderlake,bios.amberlake,bios.arrowlake,bios.cannonlake,bios.coffeelake,bios.cometlake,bios.icelake-client,bios.jasperlake,bios.kabylake,bios.kabylake_r,bios.lakefield,bios.lunarlake,bios.meteorlake,bios.pantherlake-p,bios.pantherlake-u,bios.raptorlake,bios.raptorlake_refresh,bios.rocketlake,bios.tigerlake,bios.whiskeylake</t>
  </si>
  <si>
    <t>Verify USB Type-C device is reported as an ACPI device under OS Device Manager</t>
  </si>
  <si>
    <t>CSS-IVE-64383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</si>
  <si>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tigerlake,bios.whiskeylake,ifwi.lunarlake</t>
  </si>
  <si>
    <t>Verify data transfer functionality over Type C port after Cold Boot , S3, S4, S5 Cycles</t>
  </si>
  <si>
    <t>CSS-IVE-64384</t>
  </si>
  <si>
    <t>bios.alderlake,bios.amberlake,bios.arrowlake,bios.cannonlake,bios.coffeelake,bios.icelake-client,bios.jasperlake,bios.kabylake,bios.kabylake_r,bios.lakefield,bios.lunarlake,bios.meteorlake,bios.raptorlake,bios.raptorlake_refresh,bios.rocketlake,bios.tigerlake,bios.whiskeylake</t>
  </si>
  <si>
    <t>Verify _PLD and _UPC capability for all USB ports</t>
  </si>
  <si>
    <t>CSS-IVE-64386</t>
  </si>
  <si>
    <t>bios.alderlake,bios.apollolake,bios.arrowlake,bios.cannonlake,bios.coffeelake,bios.cometlake,bios.geminilake,bios.icelake-client,bios.kabylake,bios.kabylake_r,bios.lunarlake,bios.meteorlake,bios.pantherlake,bios.pantherlake-p,bios.raptorlake,bios.raptorlake_refresh,bios.rocketlake,bios.tigerlake,bios.whiskeylake</t>
  </si>
  <si>
    <t>Verify Disabling the Internal GbE Controller - Detect GbE Flash Region</t>
  </si>
  <si>
    <t>CSS-IVE-63280</t>
  </si>
  <si>
    <t>bios.alderlake,bios.amberlake,bios.arrowlake,bios.cannonlake,bios.coffeelake,bios.cometlake,bios.icelake-client,bios.kabylake,bios.kabylake_r,bios.lunarlake,bios.meteorlake,bios.pantherlake,bios.pantherlake-p,bios.raptorlake,bios.rocketlake,bios.tigerlake</t>
  </si>
  <si>
    <t>Verify Early Init of SATA Device during BIOS Boot</t>
  </si>
  <si>
    <t>CSS-IVE-44419</t>
  </si>
  <si>
    <t>bios.alderlake,bios.apollolake,bios.cannonlake,bios.coffeelake,bios.cometlake,bios.geminilake,bios.kabylake,bios.raptorlake</t>
  </si>
  <si>
    <t>Verify Blu-Ray 2.2 playback support using HDMI 2.2</t>
  </si>
  <si>
    <t>CSS-IVE-79886</t>
  </si>
  <si>
    <t>Verify BT power state control through S0W or PR3 method</t>
  </si>
  <si>
    <t>CSS-IVE-79890</t>
  </si>
  <si>
    <t>bios.alderlake,bios.amberlake,bios.arrowlake,bios.cannonlake,bios.coffeelake,bios.cometlake,bios.icelake-client,bios.jasperlake,bios.kabylake,bios.kabylake_r,bios.lunarlake,bios.meteorlake,bios.pantherlake,bios.pantherlake-p,bios.raptorlake,bios.raptorlake_refresh,bios.rocketlake,bios.tigerlake</t>
  </si>
  <si>
    <t>Verify USB3.0 Hub detection &amp; functionality in OS, EFI, BIOS over USB Type-A and Type-C port</t>
  </si>
  <si>
    <t>CSS-IVE-67806</t>
  </si>
  <si>
    <t>bios.alderlake,bios.amberlake,bios.apollolake,bios.arrowlake,bios.broxton,bios.cannonlake,bios.coffeelake,bios.icelake-client,bios.jasperlake,bios.kabylake,bios.kabylake_r,bios.lakefield,bios.lunarlake,bios.meteorlake,bios.pantherlake,bios.pantherlake-p,bios.raptorlake,bios.raptorlake_refresh,bios.rocketlake,bios.tigerlake,bios.whiskeylake,ifwi.lunarlake</t>
  </si>
  <si>
    <t>Verifying Driver Enable/ Disable from OS device manager for I2C/UART/SPI</t>
  </si>
  <si>
    <t>CSS-IVE-69877</t>
  </si>
  <si>
    <t>bios.alderlake,bios.apollolake,bios.arrowlake,bios.broxton,bios.cannonlake,bios.cometlake,bios.geminilake,bios.icelake-client,bios.jasperlake,bios.kabylake,bios.kabylake_r,bios.lunarlake,bios.meteorlake,bios.raptorlake,bios.raptorlake_refresh,bios.rocketlake,bios.tigerlake,bios.whiskeylake</t>
  </si>
  <si>
    <t>Verify Hot plugging of SATA-HDD during Sx mode, resume and check enumeration in Device manager</t>
  </si>
  <si>
    <t>CSS-IVE-85700</t>
  </si>
  <si>
    <t>bios.alderlake,bios.arrowlake,bios.cannonlake,bios.coffeelake,bios.cometlake,bios.icelake-client,bios.kabylake,bios.lunarlake,bios.meteorlake,bios.raptorlake,bios.rocketlake,bios.tigerlake,bios.whiskeylake</t>
  </si>
  <si>
    <t>Verify that the I2C0 Device Touch Pad enumerating properly or not.</t>
  </si>
  <si>
    <t>CSS-IVE-70831</t>
  </si>
  <si>
    <t>bios.alderlake,bios.arrowlake,bios.cannonlake,bios.coffeelake,bios.cometlake,bios.kabylake,bios.kabylake_r,bios.lunarlake,bios.meteorlake,bios.raptorlake</t>
  </si>
  <si>
    <t>Verify load setup default in Consumer SKU SPI image and check "Manageability Application Configuration" is listed in BIOS</t>
  </si>
  <si>
    <t>CSS-IVE-70842</t>
  </si>
  <si>
    <t>bios.alderlake,bios.arrowlake,bios.cannonlake,bios.coffeelake,bios.icelake-client,bios.kabylake,bios.kabylake_r,bios.lunarlake,bios.meteorlake,bios.raptorlake,bios.rocketlake,bios.tigerlake,bios.whiskeylake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</si>
  <si>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</si>
  <si>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</si>
  <si>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</si>
  <si>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</si>
  <si>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bios.pch,fw.ifwi.bios,fw.ifwi.pmc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</si>
  <si>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</si>
  <si>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</si>
  <si>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</si>
  <si>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</si>
  <si>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CSS-IVE-70897</t>
  </si>
  <si>
    <t>bios.alderlake,bios.arrowlake,bios.cannonlake,bios.coffeelake,bios.cometlake,bios.icelake-client,bios.kabylake,bios.meteorlake,bios.raptorlake,bios.rocketlake,bios.whiskeylake</t>
  </si>
  <si>
    <t>Verify Successful Boot after changes made to RAID configuration under SATA settings in BIOS &amp; RAID 5 Config</t>
  </si>
  <si>
    <t>CSS-IVE-70898</t>
  </si>
  <si>
    <t>bios.alderlake,bios.arrowlake,bios.cannonlake,bios.coffeelake,bios.cometlake,bios.kabylake,bios.meteorlake,bios.raptorlake,bios.rocketlake,bios.tigerlake,ifwi.arrowlake,ifwi.lunarlake,ifwi.meteorlake,ifwi.raptorlake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</si>
  <si>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</si>
  <si>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</si>
  <si>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</si>
  <si>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</si>
  <si>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bios.alderlake,bios.amberlake,bios.arrowlake,bios.cannonlake,bios.coffeelake,bios.cometlake,bios.icelake-client,bios.kabylake,bios.kabylake_r,bios.lunarlake,bios.meteorlake,bios.pantherlake-s,bios.raptorlake,bios.raptorlake_refresh,bios.rocketlake,bios.tigerlake,bios.whiskeylake</t>
  </si>
  <si>
    <t>Verify status of USB type C device connected to USB hub /DP for single S3/S0iX and S4 cycle</t>
  </si>
  <si>
    <t>CSS-IVE-71073</t>
  </si>
  <si>
    <t>bios.alderlake,bios.amberlake,bios.arrowlake,bios.cannonlake,bios.icelake-client,bios.jasperlake,bios.kabylake,bios.kabylake_r,bios.lakefield,bios.lunarlake,bios.meteorlake,bios.raptorlake,bios.raptorlake_refresh,bios.rocketlake,bios.tigerlake,ifwi.lunarlake</t>
  </si>
  <si>
    <t>Verify PDT Unlock Message - Enable/Disable option in Debug BIOS log</t>
  </si>
  <si>
    <t>CSS-IVE-71074</t>
  </si>
  <si>
    <t>bios.alderlake,bios.amberlake,bios.arrowlake,bios.cannonlake,bios.coffeelake,bios.cometlake,bios.icelake-client,bios.kabylake,bios.kabylake_r,bios.lunarlake,bios.meteorlake,bios.pantherlake,bios.pantherlake-p,bios.raptorlake,bios.rocketlake,bios.tigerlake,bios.whiskeylake</t>
  </si>
  <si>
    <t>Verify BIOS can set both the eSPI-MC s BME bits and the eSPI Slaves BME bits using the Tunneled Access to Slave Configuration mechanism.</t>
  </si>
  <si>
    <t>CSS-IVE-71378</t>
  </si>
  <si>
    <t>bios.alderlake,bios.arrowlake,bios.cannonlake,bios.coffeelake,bios.cometlake,bios.icelake-client,bios.lunarlake,bios.meteorlake,bios.pantherlake,bios.pantherlake-p,bios.pantherlake-s,bios.raptorlake,bios.tigerlake,bios.whiskeylake</t>
  </si>
  <si>
    <t>Verifying Speaker/ Audio jack detection and audio switching from Inbuilt speakers to Headphones and vice versa</t>
  </si>
  <si>
    <t>CSS-IVE-72701</t>
  </si>
  <si>
    <t>bios.pch,fw.ifwi.bios</t>
  </si>
  <si>
    <t>bios.alderlake,bios.amberlake,bios.apollolake,bios.arrowlake,bios.broxton,bios.cannonlake,bios.coffeelake,bios.geminilake,bios.icelake-client,bios.jasperlake,bios.kabylake,bios.kabylake_r,bios.lakefield,bios.lunarlake,bios.meteorlake,bios.raptorlake,bios.raptorlake_refresh,bios.rocketlake,bios.tigerlake,bios.whiskeylake,ifwi.arrowlake,ifwi.lunarlake,ifwi.meteorlake,ifwi.raptorlake,ifwi.raptorlake_refresh</t>
  </si>
  <si>
    <t>Verify USB3 ports description in ACPI domain</t>
  </si>
  <si>
    <t>CSS-IVE-73615</t>
  </si>
  <si>
    <t>Verify BIOS display an option to enable or disable ASPM on Root port links</t>
  </si>
  <si>
    <t>CSS-IVE-80008</t>
  </si>
  <si>
    <t>Verify BIOS can support enumerating PUIS (Power-up In Standby) enabled disk</t>
  </si>
  <si>
    <t>CSS-IVE-84971</t>
  </si>
  <si>
    <t>bios.alderlake,bios.arrowlake,bios.cannonlake,bios.coffeelake,bios.cometlake,bios.icelake-client,bios.jasperlake,bios.kabylake,bios.lunarlake,bios.meteorlake,bios.pantherlake-s,bios.raptorlake,bios.rocketlake,bios.tigerlake</t>
  </si>
  <si>
    <t>Verify Audio Codec details are present in ACPI tables</t>
  </si>
  <si>
    <t>CSS-IVE-86413</t>
  </si>
  <si>
    <t>bios.alderlake,bios.amberlake,bios.apollolake,bios.arrowlake,bios.broxton,bios.cannonlake,bios.coffeelake,bios.geminilake,bios.icelake-client,bios.jasperlake,bios.kabylake,bios.kabylake_r,bios.lakefield,bios.lunarlake,bios.meteorlake,bios.raptorlake,bios.raptorlake_refresh,bios.rocketlake,bios.tigerlake,bios.whiskeylake</t>
  </si>
  <si>
    <t>PCI Express Register Range Base Address (PCIEXBAR) should be initialized and enabled by System BIOS</t>
  </si>
  <si>
    <t>CSS-IVE-86471</t>
  </si>
  <si>
    <t>bios.alderlake,bios.apollolake,bios.arrowlake,bios.broxton,bios.cannonlake,bios.coffeelake,bios.cometlake,bios.geminilake,bios.icelake-client,bios.lunarlake,bios.meteorlake,bios.raptorlake,bios.rocketlake,bios.tigerlake,bios.whiskeylake</t>
  </si>
  <si>
    <t>Verify Touch Panel should be enumerated as a PCI device</t>
  </si>
  <si>
    <t>CSS-IVE-86487</t>
  </si>
  <si>
    <t>bios.alderlake,bios.apollolake,bios.arrowlake,bios.broxton,bios.geminilake,bios.jasperlake,bios.lunarlake,bios.meteorlake,bios.raptorlake,ifwi.apollolake,ifwi.broxton,ifwi.geminilake</t>
  </si>
  <si>
    <t>Verify that BIOS should detect and initialize SATA drives attached to PCIe SATA card</t>
  </si>
  <si>
    <t>CSS-IVE-86271</t>
  </si>
  <si>
    <t>bios.alderlake,bios.arrowlake,bios.cannonlake,bios.coffeelake,bios.cometlake,bios.icelake-client,bios.jasperlake,bios.kabylake,bios.meteorlake,bios.raptorlake,bios.rocketlake,bios.tigerlake,bios.whiskeylake</t>
  </si>
  <si>
    <t>BIOS should configure necessary registry entries which are required for Audio Configuration</t>
  </si>
  <si>
    <t>CSS-IVE-86467</t>
  </si>
  <si>
    <t>bios.alderlake,bios.apollolake,bios.arrowlake,bios.broxton,bios.cannonlake,bios.coffeelake,bios.icelake-client,bios.kabylake,bios.lunarlake,bios.meteorlake,bios.raptorlake,bios.raptorlake_refresh,bios.rocketlake,bios.tigerlake</t>
  </si>
  <si>
    <t>Verify BIOS support for PCIe x4 port</t>
  </si>
  <si>
    <t>CSS-IVE-84968</t>
  </si>
  <si>
    <t>Verify Connected modern Standby (CMS) cycle with AMT features enabled in BIOS</t>
  </si>
  <si>
    <t>CSS-IVE-73190</t>
  </si>
  <si>
    <t>Verification of Audio PEP device ID after resuming from CMS</t>
  </si>
  <si>
    <t>CSS-IVE-78898</t>
  </si>
  <si>
    <t>bios.alderlake,bios.amberlake,bios.arrowlake,bios.cannonlake,bios.coffeelake,bios.geminilake,bios.icelake-client,bios.jasperlake,bios.kabylake,bios.kabylake_r,bios.lakefield,bios.lunarlake,bios.meteorlake,bios.raptorlake,bios.raptorlake_refresh,bios.rocketlake,bios.tigerlake,bios.whiskeylake</t>
  </si>
  <si>
    <t>Verify Bios option to enable and disable Manageability Feature Selection</t>
  </si>
  <si>
    <t>CSS-IVE-86555</t>
  </si>
  <si>
    <t>bios.alderlake,bios.arrowlake,bios.cannonlake,bios.coffeelake,bios.cometlake,bios.kabylake,bios.kabylake_r,bios.lunarlake,bios.meteorlake,bios.raptorlake,bios.rocketlake,bios.tigerlake,bios.whiskeylake</t>
  </si>
  <si>
    <t>Verify setup option for enabling/disabling reading of PCH temperature</t>
  </si>
  <si>
    <t>CSS-IVE-75404</t>
  </si>
  <si>
    <t>bios.alderlake,bios.amberlake,bios.arrowlake,bios.coffeelake,bios.cometlake,bios.icelake-client,bios.kabylake,bios.kabylake_r,bios.lunarlake,bios.meteorlake,bios.raptorlake,bios.raptorlake_refresh,bios.rocketlake,bios.tigerlake,bios.whiskeylake,ifwi.amberlake,ifwi.coffeelake,ifwi.cometlake,ifwi.icelake,ifwi.kabylake,ifwi.kabylake_r,ifwi.raptorlake_refresh,ifwi.tigerlake,ifwi.whiskeylake</t>
  </si>
  <si>
    <t>Verify Bluetooth endpoint enable/disable switch options for HD Audio Configuration in BIOS setup</t>
  </si>
  <si>
    <t>CSS-IVE-75982</t>
  </si>
  <si>
    <t>bios.alderlake,bios.amberlake,bios.arrowlake,bios.broxton,bios.cannonlake,bios.cometlake,bios.icelake-client,bios.jasperlake,bios.kabylake,bios.kabylake_r,bios.lakefield,bios.lunarlake,bios.meteorlake,bios.raptorlake,bios.raptorlake_refresh,bios.rocketlake,bios.tigerlake,bios.whiskeylake</t>
  </si>
  <si>
    <t>Verify SUT wake from S0i3 using PCIE LAN devices (WOL)</t>
  </si>
  <si>
    <t>CSS-IVE-76027</t>
  </si>
  <si>
    <t>bios.alderlake,bios.amberlake,bios.arrowlake,bios.cannonlake,bios.coffeelake,bios.cometlake,bios.icelake-client,bios.kabylake_r,bios.lunarlake,bios.meteorlake,bios.pantherlake,bios.pantherlake-p,bios.raptorlake,bios.raptorlake_refresh,bios.rocketlake,bios.tigerlake,bios.whiskeylake</t>
  </si>
  <si>
    <t>Verify that BIOS shall provide verb tables and program Onboard codecs as per spec</t>
  </si>
  <si>
    <t>CSS-IVE-77374</t>
  </si>
  <si>
    <t>bios.alderlake,bios.amberlake,bios.arrowlake,bios.cannonlake,bios.coffeelake,bios.cometlake,bios.icelake-client,bios.jasperlake,bios.kabylake,bios.kabylake_r,bios.lakefield,bios.lunarlake,bios.meteorlake,bios.pantherlake,bios.pantherlake-p,bios.pantherlake-u,bios.raptorlake,bios.raptorlake_refresh,bios.whiskeylake</t>
  </si>
  <si>
    <t>Verify Enable/Disable ICC Watchdog Timer (WDT) option in BIOS</t>
  </si>
  <si>
    <t>CSS-IVE-78913</t>
  </si>
  <si>
    <t>Bios should display SATA devices information connected to System</t>
  </si>
  <si>
    <t>CSS-IVE-80980</t>
  </si>
  <si>
    <t>bios.alderlake,bios.arrowlake,bios.cannonlake,bios.coffeelake,bios.cometlake,bios.icelake-client,bios.meteorlake,bios.raptorlake,bios.rocketlake,bios.tigerlake,bios.whiskeylake</t>
  </si>
  <si>
    <t>Verify BIOS configures Power management events(PME) Support when PCIe bus is in non Native mode</t>
  </si>
  <si>
    <t>CSS-IVE-86775</t>
  </si>
  <si>
    <t>bios.alderlake,bios.amberlake,bios.arrowlake,bios.cannonlake,bios.coffeelake,bios.cometlake,bios.icelake-client,bios.jasperlake,bios.kabylake,bios.kabylake_r,bios.lunarlake,bios.meteorlake,bios.raptorlake,bios.rocketlake,bios.tigerlake,bios.whiskeylake,ifwi.amberlake,ifwi.cannonlake,ifwi.coffeelake,ifwi.cometlake,ifwi.icelake,ifwi.kabylake,ifwi.kabylake_r,ifwi.tigerlake,ifwi.whiskeylake</t>
  </si>
  <si>
    <t>Verify USB2 ports enabled by default in BIOS and its Functionality in EFI/Windows OS (Only for DT/Halo/AIO)</t>
  </si>
  <si>
    <t>CSS-IVE-88799</t>
  </si>
  <si>
    <t>bios.alderlake,bios.arrowlake,bios.cannonlake,bios.coffeelake,bios.cometlake,bios.icelake-client,bios.jasperlake,bios.kabylake,bios.lunarlake,bios.meteorlake,bios.raptorlake,bios.raptorlake_refresh,bios.rocketlake,bios.tigerlake</t>
  </si>
  <si>
    <t>Verify GPIO device ID</t>
  </si>
  <si>
    <t>CSS-IVE-91897</t>
  </si>
  <si>
    <t>bios.alderlake,bios.arrowlake,bios.cannonlake,bios.coffeelake,bios.cometlake,bios.lakefield,bios.lunarlake,bios.meteorlake,bios.pantherlake,bios.pantherlake-p,bios.pantherlake-u,bios.raptorlake,bios.raptorlake_refresh,bios.rocketlake,bios.tigerlake,bios.whiskeylake</t>
  </si>
  <si>
    <t>Verify system exposes LPSS UART as Legacy UART Device</t>
  </si>
  <si>
    <t>CSS-IVE-71062</t>
  </si>
  <si>
    <t>bios.alderlake,bios.amberlake,bios.arrowlake,bios.cannonlake,bios.coffeelake,bios.cometlake,bios.icelake-client,bios.jasperlake,bios.kabylake,bios.kabylake_r,bios.lakefield,bios.lunarlake,bios.meteorlake,bios.pantherlake,bios.pantherlake-p,bios.raptorlake,bios.raptorlake_refresh,bios.rocketlake,bios.whiskeylake</t>
  </si>
  <si>
    <t>Verify BIOS provides an option to enable/disable enumeration of the SATA Controller</t>
  </si>
  <si>
    <t>CSS-IVE-84716</t>
  </si>
  <si>
    <t>bios.alderlake,bios.arrowlake,bios.cannonlake,bios.coffeelake,bios.cometlake,bios.icelake-client,bios.jasperlake,bios.kabylake,bios.kabylake_r,bios.lunarlake,bios.meteorlake,bios.raptorlake,bios.rocketlake,bios.tigerlake,bios.whiskeylake</t>
  </si>
  <si>
    <t>Verify BIOS provides option to enable/disable SATA devices when no device is connected in test mode</t>
  </si>
  <si>
    <t>CSS-IVE-84757</t>
  </si>
  <si>
    <t>bios.alderlake,bios.arrowlake,bios.cannonlake,bios.coffeelake,bios.cometlake,bios.icelake-client,bios.jasperlake,bios.kabylake,bios.lunarlake,bios.meteorlake,bios.raptorlake,bios.rocketlake,bios.tigerlake,bios.whiskeylake</t>
  </si>
  <si>
    <t>Verify "PCH Trace Hub Memory Region 0 Buffer Size" BIOS policy/option for NPK Support</t>
  </si>
  <si>
    <t>CSS-IVE-84939</t>
  </si>
  <si>
    <t>bios.alderlake,bios.arrowlake,bios.cannonlake,bios.coffeelake,bios.cometlake,bios.icelake-client,bios.jasperlake,bios.lakefield,bios.lunarlake,bios.meteorlake,bios.pantherlake,bios.pantherlake-p,bios.raptorlake,bios.rocketlake,bios.tigerlake,bios.whiskeylake</t>
  </si>
  <si>
    <t>Verify "PCH TH Mem Buffer Size 1" BIOS policy/option for NPK Support</t>
  </si>
  <si>
    <t>CSS-IVE-84942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</si>
  <si>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</si>
  <si>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</si>
  <si>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</si>
  <si>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</si>
  <si>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bios.alderlake,bios.arrowlake,bios.cannonlake,bios.coffeelake,bios.cometlake,bios.icelake-client,bios.jasperlake,bios.kabylake,bios.lakefield,bios.lunarlake,bios.meteorlake,bios.raptorlake,bios.raptorlake_refresh,bios.rocketlake,bios.tigerlake,bios.whiskeylake</t>
  </si>
  <si>
    <t>Verify availability of all HDD/SSDs populated on the SATA ports of board in BIOS/EFI and OS</t>
  </si>
  <si>
    <t>CSS-IVE-93979</t>
  </si>
  <si>
    <t>bios.alderlake,bios.arrowlake,bios.cannonlake,bios.coffeelake,bios.cometlake,bios.kabylake,bios.lunarlake,bios.meteorlake,bios.pantherlake-s,bios.raptorlake,bios.rocketlake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</si>
  <si>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</si>
  <si>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</si>
  <si>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</si>
  <si>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</si>
  <si>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bios.alderlake,bios.arrowlake,bios.coffeelake,bios.cometlake,bios.geminilake,bios.icelake-client,bios.jasperlake,bios.lakefield,bios.lunarlake,bios.meteorlake,bios.raptorlake,bios.raptorlake_refresh,bios.rocketlake,bios.tigerlake,bios.whiskeylake</t>
  </si>
  <si>
    <t>Verify RST driver version in OS device manager with RAID mode</t>
  </si>
  <si>
    <t>CSS-IVE-97241</t>
  </si>
  <si>
    <t>bios.alderlake,bios.arrowlake,bios.cannonlake,bios.coffeelake,bios.cometlake,bios.icelake-client,bios.kabylake,bios.meteorlake,bios.raptorlake,bios.rocketlake,bios.tigerlake,bios.whiskeylake,ifwi.cannonlake,ifwi.coffeelake,ifwi.cometlake,ifwi.icelake,ifwi.kabylake,ifwi.tigerlake,ifwi.whiskeylake</t>
  </si>
  <si>
    <t>Verify all supported Device ID"s are ported correctly</t>
  </si>
  <si>
    <t>CSS-IVE-85630</t>
  </si>
  <si>
    <t>bios.alderlake,bios.arrowlake,bios.cannonlake,bios.coffeelake,bios.cometlake,bios.icelake-client,bios.jasperlake,bios.lunarlake,bios.meteorlake,bios.raptorlake,bios.rocketlake,bios.tigerlake,bios.whiskeylake</t>
  </si>
  <si>
    <t>Verify SUT support Debug Trace log capture via TAP over JTAG when SUT is in Sleep state (Route traces to PTI)</t>
  </si>
  <si>
    <t>CSS-IVE-99697</t>
  </si>
  <si>
    <t>bios.alderlake,bios.arrowlake,bios.cannonlake,bios.coffeelake,bios.cometlake,bios.icelake-client,bios.jasperlake,bios.lakefield,bios.meteorlake,bios.pantherlake,bios.pantherlake-p,bios.raptorlake,bios.raptorlake_refresh,bios.rocketlake,bios.tigerlake,bios.whiskeylake,ifwi.arrowlake,ifwi.meteorlake,ifwi.raptorlake</t>
  </si>
  <si>
    <t>Verify that BIOS can enable and Disable for Connected Standby</t>
  </si>
  <si>
    <t>CSS-IVE-84946</t>
  </si>
  <si>
    <t>bios.alderlake,bios.arrowlake,bios.cannonlake,bios.coffeelake,bios.cometlake,bios.lunarlake,bios.meteorlake,bios.raptorlake,bios.raptorlake_refresh,bios.rocketlake,bios.whiskeylake</t>
  </si>
  <si>
    <t>Verify that BIOS can enable and Disable for Disconnected Modern Standby</t>
  </si>
  <si>
    <t>CSS-IVE-84948</t>
  </si>
  <si>
    <t>bios.alderlake,bios.arrowlake,bios.cannonlake,bios.coffeelake,bios.cometlake,bios.meteorlake,bios.raptorlake,bios.rocketlake,bios.whiskeylake</t>
  </si>
  <si>
    <t>Verify Boot to OS and data transfer with PCIe SSD</t>
  </si>
  <si>
    <t>CSS-IVE-101517</t>
  </si>
  <si>
    <t>bios.alderlake,bios.arrowlake,bios.cannonlake,bios.cometlake,bios.geminilake,bios.icelake-client,bios.kabylake,bios.kabylake_r,bios.lunarlake,bios.meteorlake,bios.pantherlake-s,bios.raptorlake,bios.raptorlake_refresh,bios.rocketlake,bios.tigerlake,bios.whiskeylake,ifwi.cannonlake,ifwi.cometlake,ifwi.geminilake,ifwi.icelake,ifwi.kabylake,ifwi.kabylake_r,ifwi.raptorlake_refresh,ifwi.tigerlake,ifwi.whiskeylake</t>
  </si>
  <si>
    <t>Verify Clear LPP_CTL.LPMEN bit before initializing Trace Hub</t>
  </si>
  <si>
    <t>CSS-IVE-102188</t>
  </si>
  <si>
    <t>Verify BIOS support for multiple PCI segments</t>
  </si>
  <si>
    <t>CSS-IVE-102195</t>
  </si>
  <si>
    <t>bios.alderlake,bios.arrowlake,bios.icelake-client,bios.meteorlake,bios.raptorlake,bios.rocketlake,bios.tigerlake</t>
  </si>
  <si>
    <t>Verify Initialize system memory as trace buffers for CPU Trace Hub</t>
  </si>
  <si>
    <t>CSS-IVE-102403</t>
  </si>
  <si>
    <t>bios.alderlake,bios.arrowlake,bios.cannonlake,bios.coffeelake,bios.icelake-client,bios.jasperlake,bios.lakefield,bios.raptorlake,bios.raptorlake_refresh,bios.rocketlake,bios.tigerlake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</si>
  <si>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</si>
  <si>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</si>
  <si>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</si>
  <si>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</si>
  <si>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bios.alderlake,bios.amberlake,bios.arrowlake,bios.cannonlake,bios.coffeelake,bios.cometlake,bios.icelake-client,bios.jasperlake,bios.lakefield,bios.lunarlake,bios.meteorlake,bios.raptorlake,bios.rocketlake,bios.tigerlake,bios.whiskeylake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</si>
  <si>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</si>
  <si>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</si>
  <si>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</si>
  <si>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</si>
  <si>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bios.alderlake,bios.arrowlake,bios.cannonlake,bios.cometlake,bios.icelake-client,bios.jasperlake,bios.pantherlake-h,bios.pantherlake-p,bios.pantherlake-u,bios.raptorlake,bios.raptorlake_refresh,bios.rocketlake,bios.tigerlake</t>
  </si>
  <si>
    <t>Verify LPSS I2C need to be on PCI mode by default</t>
  </si>
  <si>
    <t>CSS-IVE-105571</t>
  </si>
  <si>
    <t>bios.alderlake,bios.arrowlake,bios.cannonlake,bios.cometlake,bios.icelake-client,bios.jasperlake,bios.lakefield,bios.lunarlake,bios.meteorlake,bios.pantherlake,bios.pantherlake-p,bios.pantherlake-u,bios.raptorlake,bios.raptorlake_refresh,bios.rocketlake,bios.tigerlake</t>
  </si>
  <si>
    <t>Verify LPSS SPI need to be on PCI mode by default</t>
  </si>
  <si>
    <t>CSS-IVE-105573</t>
  </si>
  <si>
    <t>Verifying PCIe-USB add-on card support post Sx Cycle</t>
  </si>
  <si>
    <t>CSS-IVE-105705</t>
  </si>
  <si>
    <t>bios.alderlake,bios.amberlake,bios.arrowlake,bios.cannonlake,bios.coffeelake,bios.cometlake,bios.geminilake,bios.icelake-client,bios.kabylake,bios.kabylake_r,bios.lunarlake,bios.meteorlake,bios.raptorlake,bios.raptorlake_refresh,bios.rocketlake,bios.tigerlake,bios.whiskeylake</t>
  </si>
  <si>
    <t>Verify Bios options in DMI Configuration</t>
  </si>
  <si>
    <t>CSS-IVE-108348</t>
  </si>
  <si>
    <t>Verify BIOS setup user interface option for changing the EXT_V1p05 voltage and EXT_V1p05 current values</t>
  </si>
  <si>
    <t>CSS-IVE-113612</t>
  </si>
  <si>
    <t>bios.alderlake,bios.apollolake,bios.cannonlake,bios.coffeelake,bios.cometlake,bios.icelake-client,bios.jasperlake,bios.kabylake,bios.kabylake_r,bios.lakefield,bios.raptorlake,bios.raptorlake_refresh,bios.rocketlake,bios.tigerlake,bios.whiskeylake,ifwi.raptorlake_refresh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</si>
  <si>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</si>
  <si>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</si>
  <si>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</si>
  <si>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</si>
  <si>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bios.alderlake,bios.arrowlake,bios.cannonlake,bios.coffeelake,bios.cometlake,bios.icelake-client,bios.jasperlake,bios.lunarlake,bios.meteorlake,bios.pantherlake,bios.pantherlake-p,bios.pantherlake-s,bios.raptorlake,bios.rocketlake,bios.tigerlake</t>
  </si>
  <si>
    <t>Verify different type of formatting support on SATA hard disk user partitions</t>
  </si>
  <si>
    <t>CSS-IVE-114946</t>
  </si>
  <si>
    <t>bios.alderlake,bios.arrowlake,bios.cannonlake,bios.coffeelake,bios.cometlake,bios.icelake-client,bios.lunarlake,bios.meteorlake,bios.raptorlake,bios.rocketlake,bios.tigerlake,ifwi.arrowlake,ifwi.lunarlake,ifwi.meteorlake,ifwi.raptorlake</t>
  </si>
  <si>
    <t>Bios should set VMCONFIG : DID_ASSIGN VMD device ID field</t>
  </si>
  <si>
    <t>CSS-IVE-115017</t>
  </si>
  <si>
    <t>bios.arrowlake,bios.meteorlake,bios.pantherlake,bios.pantherlake-p,bios.raptorlake,bios.tigerlake,bios.whiskeylake,ifwi.tigerlake,ifwi.whiskeylake</t>
  </si>
  <si>
    <t>Verify VMD SATA device boot and system stability after Sx cycles</t>
  </si>
  <si>
    <t>CSS-IVE-115636</t>
  </si>
  <si>
    <t>bios.alderlake,bios.arrowlake,bios.meteorlake,bios.raptorlake,bios.tigerlake,bios.whiskeylake,ifwi.raptorlake,ifwi.tigerlake,ifwi.whiskeylake</t>
  </si>
  <si>
    <t>Verify device ID of Integrated Error Handler</t>
  </si>
  <si>
    <t>CSS-IVE-117483</t>
  </si>
  <si>
    <t>bios.alderlake,bios.arrowlake,bios.lunarlake,bios.meteorlake,bios.pantherlake-p,bios.pantherlake-u,bios.raptorlake,bios.rocketlake,bios.tigerlake,ifwi.tigerlake</t>
  </si>
  <si>
    <t>Verify different boot mode of Integrated Error Handler</t>
  </si>
  <si>
    <t>CSS-IVE-117485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</si>
  <si>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</si>
  <si>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</si>
  <si>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</si>
  <si>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</si>
  <si>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bios.pch,fw.ifwi.pchc,fw.ifwi.pmc</t>
  </si>
  <si>
    <t>bios.alderlake,bios.arrowlake,bios.lunarlake,bios.meteorlake,bios.raptorlake,bios.rocketlake,bios.tigerlake,ifwi.arrowlake,ifwi.lunarlake,ifwi.meteorlake,ifwi.raptorlake,ifwi.tigerlake</t>
  </si>
  <si>
    <t>Verify bios reference code defines PSOC and PSOS methods to allow PS_ON enablement / disablement</t>
  </si>
  <si>
    <t>CSS-IVE-120097</t>
  </si>
  <si>
    <t>bios.alderlake,bios.arrowlake,bios.coffeelake,bios.cometlake,bios.lunarlake,bios.meteorlake,bios.pantherlake-s,bios.raptorlake,bios.rocketlake,bios.tigerlake</t>
  </si>
  <si>
    <t>Verify Bios programs chipset initialization registers for PMC</t>
  </si>
  <si>
    <t>CSS-IVE-120102</t>
  </si>
  <si>
    <t>bios.alderlake,bios.arrowlake,bios.icelake-client,bios.lunarlake,bios.meteorlake,bios.pantherlake,bios.pantherlake-p,bios.pantherlake-s,bios.raptorlake,bios.rocketlake,bios.tigerlake</t>
  </si>
  <si>
    <t>Verify option Legacy IO Low Latency in BIOS</t>
  </si>
  <si>
    <t>CSS-IVE-120145</t>
  </si>
  <si>
    <t>bios.cpu_pm,bios.iio</t>
  </si>
  <si>
    <t>Verify RAID 1 configuration in NVME interface using VMD</t>
  </si>
  <si>
    <t>CSS-IVE-129710</t>
  </si>
  <si>
    <t>bios.alderlake,bios.arrowlake,bios.lunarlake,bios.meteorlake,bios.raptorlake,bios.tigerlake,bios.whiskeylake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</si>
  <si>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</si>
  <si>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</si>
  <si>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</si>
  <si>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</si>
  <si>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configuration of RAID 1 volume in PreOS with NVMe</t>
  </si>
  <si>
    <t>CSS-IVE-129714</t>
  </si>
  <si>
    <t>bios.alderlake,bios.arrowlake,bios.meteorlake,bios.raptorlake,bios.tigerlake</t>
  </si>
  <si>
    <t>Verify NVMe device boot and system stability after Sx with VMD port disabled</t>
  </si>
  <si>
    <t>CSS-IVE-129730</t>
  </si>
  <si>
    <t>bios.alderlake,bios.arrowlake,bios.meteorlake,bios.raptorlake,bios.tigerlake,bios.whiskeylake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</si>
  <si>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</si>
  <si>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</si>
  <si>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</si>
  <si>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</si>
  <si>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bios.alderlake,bios.meteorlake,bios.raptorlake,bios.tigerlake,bios.whiskeylake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</si>
  <si>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</si>
  <si>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</si>
  <si>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</si>
  <si>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</si>
  <si>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</si>
  <si>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</si>
  <si>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</si>
  <si>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CSS-IVE-129967</t>
  </si>
  <si>
    <t>bios.alderlake,bios.lunarlake,bios.pantherlake,bios.pantherlake-p,bios.raptorlake,bios.raptorlake_refresh,bios.tigerlake</t>
  </si>
  <si>
    <t>Verify SA DID enumeration in EFI shell</t>
  </si>
  <si>
    <t>CSS-IVE-130044</t>
  </si>
  <si>
    <t>bios.arrowlake,bios.lunarlake,bios.meteorlake,bios.pantherlake,bios.pantherlake-p,bios.raptorlake,bios.rocketlake</t>
  </si>
  <si>
    <t>Verify if SSD hangs with PLN enabled/disabled with VMD Mode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</si>
  <si>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</si>
  <si>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</si>
  <si>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</si>
  <si>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</si>
  <si>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</si>
  <si>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ModPHY SUS Power Gating is enabled from A1 silicon onwards.</t>
  </si>
  <si>
    <t>CSS-IVE-133068</t>
  </si>
  <si>
    <t>bios.alderlake,bios.meteorlake,bios.raptorlake,bios.tigerlake,ifwi.tigerlake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</si>
  <si>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</si>
  <si>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</si>
  <si>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</si>
  <si>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</si>
  <si>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Touch Panel(I2C) enumeration and functionality in OS pre and post Sx cycles</t>
  </si>
  <si>
    <t>CSS-IVE-133612</t>
  </si>
  <si>
    <t>bios.alderlake,bios.arrowlake,bios.jasperlake,bios.lunarlake,bios.meteorlake,bios.raptorlake,bios.tigerlake</t>
  </si>
  <si>
    <t>Verify T-mod settings in BIOS for display codec</t>
  </si>
  <si>
    <t>CSS-IVE-133681</t>
  </si>
  <si>
    <t>bios.alderlake,bios.arrowlake,bios.jasperlake,bios.lunarlake,bios.meteorlake,bios.pantherlake-p,bios.pantherlake-u,bios.raptorlake,bios.raptorlake_refresh,bios.tigerlake</t>
  </si>
  <si>
    <t>Verify NHLT Table with internal and external BIOS in ACPI dump</t>
  </si>
  <si>
    <t>CSS-IVE-135373</t>
  </si>
  <si>
    <t>bios.alderlake,bios.amberlake,bios.arrowlake,bios.cometlake,bios.lunarlake,bios.meteorlake,bios.pantherlake-p,bios.pantherlake-s,bios.pantherlake-u,bios.raptorlake,bios.rocketlake,bios.tigerlake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</si>
  <si>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</si>
  <si>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</si>
  <si>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</si>
  <si>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</si>
  <si>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bios.alderlake,bios.lunarlake,bios.meteorlake,bios.raptorlake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</si>
  <si>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</si>
  <si>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</si>
  <si>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</si>
  <si>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</si>
  <si>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bios.alderlake,bios.arrowlake,bios.lunarlake,bios.meteorlake,bios.pantherlake,bios.pantherlake-p,bios.pantherlake-u,bios.raptorlake,bios.tigerlake</t>
  </si>
  <si>
    <t>Verify if BIOS performs Hybrid loading</t>
  </si>
  <si>
    <t>CSS-IVE-136324</t>
  </si>
  <si>
    <t>bios.alderlake,bios.arrowlake,bios.raptorlake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</si>
  <si>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</si>
  <si>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</si>
  <si>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</si>
  <si>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</si>
  <si>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</si>
  <si>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</si>
  <si>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bios.cpu_pm,bios.platform,bios.sa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</si>
  <si>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</si>
  <si>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</si>
  <si>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</si>
  <si>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</si>
  <si>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</si>
  <si>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</si>
  <si>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bios.alderlake,bios.arrowlake,bios.lunarlake,bios.meteorlake,bios.pantherlake,bios.pantherlake-p,bios.raptorlake,bios.raptorlake_refresh,bios.rocketlake</t>
  </si>
  <si>
    <t>[FSP]Verify Component info with each FSP Components</t>
  </si>
  <si>
    <t>CSS-IVE-144431</t>
  </si>
  <si>
    <t>bios.alderlake,bios.arrowlake,bios.lunarlake,bios.meteorlake,bios.pantherlake,bios.pantherlake-p,bios.pantherlake-u,bios.raptorlake,bios.raptorlake_refresh,bios.rocketlake,bios.tigerlake</t>
  </si>
  <si>
    <t>[FSP][GCC]Verify Component info with each FSP Components</t>
  </si>
  <si>
    <t>CSS-IVE-144433</t>
  </si>
  <si>
    <t>bios.alderlake,bios.arrowlake,bios.lunarlake,bios.meteorlake,bios.pantherlake,bios.pantherlake-p,bios.pantherlake-u,bios.raptorlake,bios.raptorlake_refresh,bios.rocketlake</t>
  </si>
  <si>
    <t>Verify Subsystem Vendor ID and Subsystem ID register in BDF-0:0:0 is correctly configured by BIOS</t>
  </si>
  <si>
    <t>CSS-IVE-144434</t>
  </si>
  <si>
    <t>bios.alderlake,bios.arrowlake,bios.lunarlake,bios.meteorlake,bios.raptorlake,bios.rocketlake,bios.tigerlake,ifwi.tigerlake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</si>
  <si>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</si>
  <si>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</si>
  <si>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</si>
  <si>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</si>
  <si>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</si>
  <si>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</si>
  <si>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</si>
  <si>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</si>
  <si>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</si>
  <si>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</si>
  <si>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</si>
  <si>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</si>
  <si>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bios.alderlake,bios.arrowlake,bios.meteorlake,bios.raptorlake,bios.rocketlake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</si>
  <si>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</si>
  <si>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</si>
  <si>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</si>
  <si>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</si>
  <si>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that the PCH SATA Controller is set and operating in RAID Mode Through VMD</t>
  </si>
  <si>
    <t>CSS-IVE-144540</t>
  </si>
  <si>
    <t>bios.alderlake,bios.arrowlake,bios.meteorlake,bios.raptorlake,bios.tigerlake,ifwi.tigerlake</t>
  </si>
  <si>
    <t>Verify RAID0 with CPU Attached Storage Devices and system stability after Sx cycles Through VMD</t>
  </si>
  <si>
    <t>CSS-IVE-144657</t>
  </si>
  <si>
    <t>bios.alderlake,bios.arrowlake,bios.lunarlake,bios.meteorlake,bios.pantherlake,bios.pantherlake-p,bios.raptorlake,bios.tigerlake,ifwi.tigerlake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</si>
  <si>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</si>
  <si>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</si>
  <si>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</si>
  <si>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</si>
  <si>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bios.alderlake,bios.arrowlake,bios.lunarlake,bios.raptorlake,bios.tigerlake,ifwi.arrowlake,ifwi.meteorlake,ifwi.tigerlake</t>
  </si>
  <si>
    <t>Verify RAID5 with CPU Attached Storage Device and PCH attached devices(on PCIe4 controller) and system stability after Sx cycles Through VMD</t>
  </si>
  <si>
    <t>CSS-IVE-144664</t>
  </si>
  <si>
    <t>bios.alderlake,bios.arrowlake,bios.lunarlake,bios.meteorlake,bios.raptorlake,bios.tigerlake,ifwi.tigerlake</t>
  </si>
  <si>
    <t>Verify RAID creation with CPU Attached Storage Device and PCH attached device(on PCIe4 controller) through EFI shell via VMD</t>
  </si>
  <si>
    <t>CSS-IVE-144673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</si>
  <si>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</si>
  <si>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</si>
  <si>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</si>
  <si>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</si>
  <si>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PCIe GEN5 HS-Phy_FW_Version displayed in BIOS</t>
  </si>
  <si>
    <t>CSS-IVE-145199</t>
  </si>
  <si>
    <t>bios.cpu_pm,bios.sa</t>
  </si>
  <si>
    <t>Verify BIOS enable AtomicOps support for PEG60</t>
  </si>
  <si>
    <t>CSS-IVE-145669</t>
  </si>
  <si>
    <t>Validate Foxville LAN device for RTD3</t>
  </si>
  <si>
    <t>CSS-IVE-145161</t>
  </si>
  <si>
    <t>Verify BIOS support for [CNV][WIFI] New ACPI table SGOM- SAR GEO Offset Mapping</t>
  </si>
  <si>
    <t>CSS-IVE-145680</t>
  </si>
  <si>
    <t>Verify BIOS support for [CNV][WIFI] New ACPI table WTAS - Wi-Fi time Average SAR</t>
  </si>
  <si>
    <t>CSS-IVE-145681</t>
  </si>
  <si>
    <t>bios.alderlake,bios.arrowlake,bios.jasperlake,bios.lunarlake,bios.meteorlake,bios.pantherlake,bios.pantherlake-p,bios.raptorlake,bios.raptorlake_refresh</t>
  </si>
  <si>
    <t>Verify that PSMI Handler reservation happened before MRC_DONE</t>
  </si>
  <si>
    <t>CSS-IVE-145685</t>
  </si>
  <si>
    <t>Verify DMIC basic functionality test with Soundwire Codec, pre and post S4, S5 and warm and cold reset cycles</t>
  </si>
  <si>
    <t>CSS-IVE-145509</t>
  </si>
  <si>
    <t>bios.alderlake,bios.arrowlake,bios.lunarlake,bios.meteorlake,bios.pantherlake,bios.pantherlake-p,bios.raptorlake,bios.rocketlake,bios.tigerlake,ifwi.arrowlake,ifwi.meteorlake,ifwi.raptorlake,ifwi.tigerlake</t>
  </si>
  <si>
    <t>Verify DMIC basic functionality test with Soundwire Codec, pre and post S3 cycles</t>
  </si>
  <si>
    <t>CSS-IVE-145510</t>
  </si>
  <si>
    <t>bios.alderlake,bios.arrowlake,bios.lunarlake,bios.meteorlake,bios.raptorlake,bios.rocketlake,bios.tigerlake,ifwi.raptorlake,ifwi.tigerlake</t>
  </si>
  <si>
    <t>Verify DMIC basic functionality test with Soundwire Codec, pre and post CMS cycles</t>
  </si>
  <si>
    <t>CSS-IVE-145625</t>
  </si>
  <si>
    <t>bios.pch,fw.ifwi.pmc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</si>
  <si>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</si>
  <si>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</si>
  <si>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</si>
  <si>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</si>
  <si>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</si>
  <si>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</si>
  <si>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</si>
  <si>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</si>
  <si>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Verify _DSD method for D3 enable/disable in VMD scope</t>
  </si>
  <si>
    <t>CSS-IVE-145690</t>
  </si>
  <si>
    <t>bios.alderlake,bios.arrowlake,bios.meteorlake,bios.pantherlake,bios.pantherlake-p,bios.raptorlake,bios.tigerlake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</si>
  <si>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</si>
  <si>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</si>
  <si>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</si>
  <si>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</si>
  <si>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</si>
  <si>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CSS-IVE-63701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</si>
  <si>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broxton,ifwi.cannonlake,ifwi.coffeelake,ifwi.cometlake,ifwi.geminilake,ifwi.icelake,ifwi.kabylake,ifwi.kabylake_r,ifwi.lakefield,ifwi.raptorlake,ifwi.raptorlake_refresh,ifwi.tigerlake,ifwi.whiskeylake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</si>
  <si>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</si>
  <si>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</si>
  <si>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</si>
  <si>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</si>
  <si>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bios.pch,fw.ifwi.gbe</t>
  </si>
  <si>
    <t>bios.alderlake,bios.arrowlake,bios.jasperlake,bios.lunarlake,bios.meteorlake,bios.raptorlake,bios.raptorlake_refresh,bios.rocketlake,ifwi.arrowlake,ifwi.lunarlake,ifwi.meteorlake,ifwi.raptorlake,ifwi.raptorlake_refresh</t>
  </si>
  <si>
    <t>Verify Graphics DirectX support - 3DMark benchmark</t>
  </si>
  <si>
    <t>CSS-IVE-71598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</si>
  <si>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lderlake,ifwi.arrowlake,ifwi.lunarlake,ifwi.meteorlake,ifwi.raptorlake,ifwi.raptorlake_refresh</t>
  </si>
  <si>
    <t>Verify CNVi Bluetooth functionality in OS pre and post S4 , S5 , warm and cold reboot cycles</t>
  </si>
  <si>
    <t>CSS-IVE-145038</t>
  </si>
  <si>
    <t>bios.alderlake,bios.arrowlake,bios.jasperlake,bios.lunarlake,bios.meteorlake,bios.pantherlake,bios.pantherlake-p,bios.raptorlake,bios.raptorlake_refresh,bios.rocketlake,ifwi.arrowlake,ifwi.lunarlake,ifwi.meteorlake,ifwi.raptorlake,ifwi.raptorlake_refresh</t>
  </si>
  <si>
    <t>Verify CNVi WLAN Functionality in OS  pre and post S4 , S5 , warm and cold reboot cycles</t>
  </si>
  <si>
    <t>CSS-IVE-145041</t>
  </si>
  <si>
    <t>bios.alderlake,bios.arrowlake,bios.jasperlake,bios.lunarlake,bios.meteorlake,bios.pantherlake,bios.pantherlake-p,bios.raptorlake,bios.raptorlake_refresh,bios.rocketlake</t>
  </si>
  <si>
    <t>Verify display check on HDMI when connected via DP 1.2 to HDMI dongle</t>
  </si>
  <si>
    <t>CSS-IVE-71258</t>
  </si>
  <si>
    <t>bios.alderlake,bios.apollolake,bios.arrowlake,bios.broxton,bios.geminilake,bios.lunarlake,bios.meteorlake,bios.pantherlake,bios.pantherlake-p,bios.raptorlake,bios.raptorlake_refresh,bios.tigerlake,ifwi.apollolake,ifwi.arrowlake,ifwi.broxton,ifwi.geminilake,ifwi.lunarlake,ifwi.meteorlake,ifwi.raptorlake,ifwi.raptorlake_refresh,ifwi.tigerlake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</si>
  <si>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</si>
  <si>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</si>
  <si>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</si>
  <si>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</si>
  <si>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</si>
  <si>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</si>
  <si>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</si>
  <si>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</si>
  <si>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Verify "Wake on Voice" functionality when System in SLP_S0 state, pre and post S4 and S5 cycles</t>
  </si>
  <si>
    <t>CSS-IVE-145224</t>
  </si>
  <si>
    <t>Verify "Wake on Voice" functionality when System in SLP_S0 state using DMIC pre and post S4/S5 cycle</t>
  </si>
  <si>
    <t>CSS-IVE-145227</t>
  </si>
  <si>
    <t>bios.alderlake,bios.arrowlake,bios.jasperlake,bios.lunarlake,bios.meteorlake,bios.raptorlake,bios.rocketlake,ifwi.alderlake,ifwi.arrowlake,ifwi.lunarlake,ifwi.meteorlake,ifwi.raptorlake</t>
  </si>
  <si>
    <t>Validate Type-C USB3.0 Host Mode (Type-C to A) functionality - device connected to Hub, Cable connected when SUT is in Sx state</t>
  </si>
  <si>
    <t>CSS-IVE-63571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</si>
  <si>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</si>
  <si>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Verify Device Specific Method(_DSM) support  in the ACPI dump for Bluetooth device</t>
  </si>
  <si>
    <t>CSS-IVE-145804</t>
  </si>
  <si>
    <t>bios.alderlake,bios.arrowlake,bios.lunarlake,bios.meteorlake,bios.pantherlake,bios.pantherlake-p,bios.pantherlake-u,bios.raptorlake,bios.raptorlake_refresh,bios.tigerlake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</si>
  <si>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</si>
  <si>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</si>
  <si>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</si>
  <si>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</si>
  <si>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</si>
  <si>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Verify Dynamic Backbone Clock Gate is programmed per port</t>
  </si>
  <si>
    <t>CSS-IVE-145812</t>
  </si>
  <si>
    <t>Verify if BIOS defaults can be saved and restored back in setup menu by configuring CMOS battery</t>
  </si>
  <si>
    <t>CSS-IVE-62405</t>
  </si>
  <si>
    <t>bios.a21,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tigerlake,ifwi.whiskeylake</t>
  </si>
  <si>
    <t>Verify Discrete BT functionality after idle and sleep states</t>
  </si>
  <si>
    <t>CSS-IVE-62169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</si>
  <si>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</si>
  <si>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</si>
  <si>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</si>
  <si>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</si>
  <si>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bios.alderlake,bios.apollolake,bios.arrowlake,bios.cannonlake,bios.coffeelake,bios.cometlake,bios.geminilake,bios.icelake-client,bios.kabylake_r,bios.lunarlake,bios.meteorlake,bios.raptorlake,bios.raptorlake_refresh,bios.rocketlake,bios.tigerlake,bios.whiskeylake</t>
  </si>
  <si>
    <t>Verify OS debug support using Windbg via native serial UART during SUT resume from S4,S5 state</t>
  </si>
  <si>
    <t>CSS-IVE-101504</t>
  </si>
  <si>
    <t>Verify Onboard LAN connectivity/functionality</t>
  </si>
  <si>
    <t>CSS-IVE-71019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</si>
  <si>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tigerlake_refresh,ifwi.whiskeylake</t>
  </si>
  <si>
    <t>Verify discrete Wi-Fi wake event from S0i3</t>
  </si>
  <si>
    <t>CSS-IVE-71105</t>
  </si>
  <si>
    <t>bios.alderlake,bios.amberlake,bios.apollolake,bios.arrowlake,bios.broxton,bios.cannonlake,bios.coffeelake,bios.cometlake,bios.geminilake,bios.icelake-client,bios.jasperlake,bios.kabylake,bios.kabylake_r,bios.lakefield,bios.meteorlake,bios.raptorlake,bios.raptorlake_refresh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raptorlake_refresh,ifwi.tigerlake,ifwi.whiskeylake</t>
  </si>
  <si>
    <t>Verify SUT wake from S0i3 by CNVi Wi-Fi wake event</t>
  </si>
  <si>
    <t>CSS-IVE-113684</t>
  </si>
  <si>
    <t>bios.alderlake,bios.arrowlake,bios.coffeelake,bios.cometlake,bios.icelake-client,bios.jasperlake,bios.lunarlake,bios.meteorlake,bios.pantherlake,bios.pantherlake-p,bios.pantherlake-u,bios.raptorlake,bios.raptorlake_refresh,bios.rocketlake,bios.tigerlake,bios.whiskeylake,ifwi.arrowlake,ifwi.coffeelake,ifwi.cometlake,ifwi.icelake,ifwi.lunarlake,ifwi.meteorlake,ifwi.raptorlake,ifwi.raptorlake_refresh,ifwi.tigerlake,ifwi.whiskeylake</t>
  </si>
  <si>
    <t>Verify CNVi WLAN and Bluetooth functionality in Pre-OS with RF Kill switch enabled on board</t>
  </si>
  <si>
    <t>CSS-IVE-113961</t>
  </si>
  <si>
    <t>bios.alderlake,bios.arrowlake,bios.cannonlake,bios.coffeelake,bios.cometlake,bios.icelake-client,bios.lunarlake,bios.meteorlake,bios.raptorlake,bios.raptorlake_refresh,bios.rocketlake,bios.tigerlake,bios.whiskeylake,ifwi.arrowlake,ifwi.cannonlake,ifwi.coffeelake,ifwi.cometlake,ifwi.icelake,ifwi.raptorlake,ifwi.raptorlake_refresh,ifwi.tigerlake,ifwi.whiskeylake</t>
  </si>
  <si>
    <t>Verify Booting over Wi-Fi using UEFI PXEv6 Boot with 2.4 Ghz Access Point (AP)</t>
  </si>
  <si>
    <t>CSS-IVE-113978</t>
  </si>
  <si>
    <t>bios.alderlake,bios.arrowlake,bios.cannonlake,bios.coffeelake,bios.icelake-client,bios.lunarlake,bios.meteorlake,bios.pantherlake,bios.pantherlake-p,bios.raptorlake,bios.raptorlake_refresh,bios.tigerlake,bios.whiskeylake</t>
  </si>
  <si>
    <t>Verify BIOS provides option to enable/disable ISH Configuration</t>
  </si>
  <si>
    <t>CSS-IVE-62691</t>
  </si>
  <si>
    <t>bios.pch,fw.ifwi.ish</t>
  </si>
  <si>
    <t>bios.alderlake,bios.amberlake,bios.apollolake,bios.arrowlake,bios.broxton,bios.cannonlake,bios.coffeelake,bios.cometlake,bios.geminilake,bios.icelake-client,bios.kabylake,bios.kabylake_r,bios.lakefield,bios.lunarlake,bios.meteorlake,bios.pantherlake,bios.pantherlake-p,bios.pantherlake-u,bios.raptorlake,bios.raptorlake_refresh,bios.rocketlake,bios.tigerlake,bios.whiskeylake,ifwi.amberlake,ifwi.apollolake,ifwi.broxton,ifwi.cannonlake,ifwi.coffeelake,ifwi.cometlake,ifwi.geminilake,ifwi.icelake,ifwi.kabylake,ifwi.kabylake_r,ifwi.lakefield,ifwi.tigerlake,ifwi.whiskeylake</t>
  </si>
  <si>
    <t>Verify system shuts down after reaching critical Trip point</t>
  </si>
  <si>
    <t>CSS-IVE-65446</t>
  </si>
  <si>
    <t>bios.alderlake,bios.amberlake,bios.apollolake,bios.arrowlake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arrowlake,ifwi.lunarlake,ifwi.meteorlake,ifwi.raptorlake,ifwi.raptorlake_refresh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</si>
  <si>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</si>
  <si>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</si>
  <si>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</si>
  <si>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</si>
  <si>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</si>
  <si>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</si>
  <si>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bios.alderlake,bios.amberlake,bios.apollolake,bios.broxton,bios.cannonlake,bios.coffeelake,bios.cometlake,bios.geminilake,bios.icelake-client,bios.jasperlake,bios.kabylake,bios.kabylake_r,bios.lunarlake,bios.meteorlake,bios.raptorlake,bios.raptorlake_refresh,bios.rocketlake,bios.skylake,bios.tigerlake,bios.whiskeylake,ifwi.alderlake,ifwi.amberlake,ifwi.apollolake,ifwi.broxton,ifwi.cannonlake,ifwi.cometlake,ifwi.geminilake,ifwi.icelake,ifwi.jasperlake,ifwi.kabylake,ifwi.kabylake_r,ifwi.raptorlake,ifwi.rocketlake,ifwi.skylake,ifwi.tigerlake,ifwi.tigerlake_refresh,ifwi.whiskeylake</t>
  </si>
  <si>
    <t>Verify SUT wakes from S0i3/C-MoS using Bluetooth (BT Devices)</t>
  </si>
  <si>
    <t>CSS-IVE-65480</t>
  </si>
  <si>
    <t>Verify Package C-states support</t>
  </si>
  <si>
    <t>CSS-IVE-65501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</si>
  <si>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pantherlake,bios.pantherlake-p,bios.raptorlake,bios.raptorlake_refresh,bios.rocketlake,bios.tigerlake,bios.whiskeylake,ifwi.amberlake,ifwi.apollolake,ifwi.broxton,ifwi.cannonlake,ifwi.coffeelake,ifwi.cometlake,ifwi.geminilake,ifwi.icelake,ifwi.kabylake,ifwi.kabylake_r,ifwi.lakefield,ifwi.raptorlake_refresh,ifwi.tigerlake,ifwi.whiskeylake</t>
  </si>
  <si>
    <t>Verify Headphone plug/unplug Event wake system from CMS</t>
  </si>
  <si>
    <t>CSS-IVE-71144</t>
  </si>
  <si>
    <t>bios.platform,fw.ifwi.bios,fw.ifwi.pmc</t>
  </si>
  <si>
    <t>bios.apollolake,bios.arrowlake,bios.broxton,bios.geminilake,bios.lakefield,bios.lunarlake,bios.meteorlake,bios.raptorlake,bios.raptorlake_refresh,bios.rocketlake,ifwi.apollolake,ifwi.arrowlake,ifwi.broxton,ifwi.geminilake,ifwi.lakefield,ifwi.lunarlake,ifwi.meteorlake,ifwi.raptorlake,ifwi.raptorlake_refresh</t>
  </si>
  <si>
    <t>Verify SUT waking up from Connected Modern standby when it hits low battery event</t>
  </si>
  <si>
    <t>CSS-IVE-71145</t>
  </si>
  <si>
    <t>bios.cpu_pm,fw.ifwi.bios,fw.ifwi.ec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</si>
  <si>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</si>
  <si>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</si>
  <si>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</si>
  <si>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</si>
  <si>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bios.alderlake,bios.arrowlake,bios.cannonlake,bios.coffeelake,bios.cometlake,bios.icelake-client,bios.jasperlake,bios.lunarlake,bios.meteorlake,bios.pantherlake,bios.pantherlake-p,bios.raptorlake,bios.raptorlake_refresh,bios.rocketlake,bios.tigerlake,bios.whiskeylake</t>
  </si>
  <si>
    <t>With Storage redirection disabled in MEBX, verify Storage redirection session cannot be established  through Wired LAN</t>
  </si>
  <si>
    <t>CSS-IVE-69932</t>
  </si>
  <si>
    <t>bios.alderlake,bios.arrowlake,bios.raptorlake,ifwi.amberlake,ifwi.cannonlake,ifwi.coffeelake,ifwi.cometlake,ifwi.kabylake,ifwi.kabylake_r,ifwi.lunarlake,ifwi.tigerlake,ifwi.whiskeylake</t>
  </si>
  <si>
    <t>Verify local user cannot enter into MEBx to change Intel  Standard Manageability Configuration when USB-R &amp; KVM session is active</t>
  </si>
  <si>
    <t>CSS-IVE-69938</t>
  </si>
  <si>
    <t>bios.alderlake,bios.arrowlake,bios.lunarlake,bios.meteorlake,bios.pantherlake,bios.pantherlake-p,bios.raptorlake,ifwi.amberlake,ifwi.cannonlake,ifwi.coffeelake,ifwi.cometlake,ifwi.kabylake,ifwi.kabylake_r,ifwi.lunarlake,ifwi.tigerlake,ifwi.tigerlake_refresh</t>
  </si>
  <si>
    <t>Verify Storage Redirection session cannot be established through Wireless LAN With Storage Redirection disabled in MEBX</t>
  </si>
  <si>
    <t>CSS-IVE-69940</t>
  </si>
  <si>
    <t>bios.alderlake,bios.arrowlake,bios.raptorlake,ifwi.amberlake,ifwi.cannonlake,ifwi.coffeelake,ifwi.cometlake,ifwi.kabylake,ifwi.kabylake_r,ifwi.tigerlake,ifwi.whiskeylake</t>
  </si>
  <si>
    <t>Verify the BIOS behavior related to EOP MEI message in Manufacturing/Re-Manufacturing Environment</t>
  </si>
  <si>
    <t>CSS-IVE-80342</t>
  </si>
  <si>
    <t>bios.alderlake,bios.arrowlake,bios.cannonlake,bios.coffeelake,bios.cometlake,bios.kabylake,bios.lunarlake,bios.meteorlake,bios.raptorlake,bios.rocketlake,bios.tigerlake,bios.whiskeylake</t>
  </si>
  <si>
    <t>BIOS should have an option to enable or disable HMRFPO MEI message to Intel ME</t>
  </si>
  <si>
    <t>CSS-IVE-80343</t>
  </si>
  <si>
    <t>bios.alderlake,bios.amberlake,bios.arrowlake,bios.cannonlake,bios.coffeelake,bios.cometlake,bios.jasperlake,bios.kabylake,bios.kabylake_r,bios.lakefield,bios.lunarlake,bios.meteorlake,bios.pantherlake,bios.pantherlake-p,bios.raptorlake,bios.raptorlake_refresh,bios.rocketlake,bios.tigerlake,bios.whiskeylake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</si>
  <si>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</si>
  <si>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</si>
  <si>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</si>
  <si>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</si>
  <si>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</si>
  <si>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</si>
  <si>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bios.alderlake,bios.amberlake,bios.arrowlake,bios.cannonlake,bios.coffeelake,bios.cometlake,bios.jasperlake,bios.kabylake,bios.kabylake_r,bios.lakefield,bios.lunarlake,bios.meteorlake,bios.pantherlake,bios.pantherlake-p,bios.raptorlake,bios.rocketlake,bios.tigerlake,bios.whiskeylake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</si>
  <si>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</si>
  <si>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</si>
  <si>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</si>
  <si>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</si>
  <si>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</si>
  <si>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CSS-IVE-80109</t>
  </si>
  <si>
    <t>bios.me,bios.platform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</si>
  <si>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</si>
  <si>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</si>
  <si>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</si>
  <si>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</si>
  <si>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bios.alderlake,bios.amberlake,bios.arrowlake,bios.cannonlake,bios.coffeelake,bios.cometlake,bios.kabylake,bios.kabylake_r,bios.lunarlake,bios.meteorlake,bios.pantherlake,bios.pantherlake-p,bios.raptorlake,bios.raptorlake_refresh,bios.rocketlake,bios.tigerlake,bios.whiskeylake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</si>
  <si>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</si>
  <si>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</si>
  <si>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</si>
  <si>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</si>
  <si>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Verify Shared/Dedicated FQDN mode setting in MEBx</t>
  </si>
  <si>
    <t>CSS-IVE-75864</t>
  </si>
  <si>
    <t>bios.alderlake,bios.amberlake,bios.arrowlake,bios.cannonlake,bios.coffeelake,bios.cometlake,bios.kabylake,bios.kabylake_r,bios.lunarlake,bios.meteorlake,bios.pantherlake,bios.pantherlake-p,bios.raptorlake,bios.rocketlake,bios.skylake,bios.tigerlake,bios.whiskeylake,ifwi.amberlake,ifwi.cannonlake,ifwi.coffeelake,ifwi.cometlake,ifwi.kabylake,ifwi.kabylake_r,ifwi.skylake,ifwi.tigerlake,ifwi.whiskeylake</t>
  </si>
  <si>
    <t>Verify that MEBx shall provide an option to set Periodic Update Interval for Dynamic DNS Update</t>
  </si>
  <si>
    <t>CSS-IVE-75917</t>
  </si>
  <si>
    <t>bios.alderlake,bios.amberlake,bios.cannonlake,bios.coffeelake,bios.cometlake,bios.kabylake,bios.kabylake_r,bios.raptorlake,bios.rocketlake,bios.skylake,bios.tigerlake,bios.whiskeylake,ifwi.amberlake,ifwi.cannonlake,ifwi.coffeelake,ifwi.cometlake,ifwi.kabylake,ifwi.kabylake_r,ifwi.skylake,ifwi.tigerlake,ifwi.whiskeylake</t>
  </si>
  <si>
    <t>Verify that MEBx shall provide an option to display current Provisioning</t>
  </si>
  <si>
    <t>CSS-IVE-75939</t>
  </si>
  <si>
    <t>bios.alderlake,bios.amberlake,bios.arrowlake,bios.cannonlake,bios.coffeelake,bios.cometlake,bios.kabylake,bios.kabylake_r,bios.lunarlake,bios.meteorlake,bios.pantherlake,bios.pantherlake-p,bios.raptorlake,bios.rocketlake,bios.tigerlake,bios.whiskeylake,ifwi.amberlake,ifwi.cannonlake,ifwi.coffeelake,ifwi.cometlake,ifwi.kabylake,ifwi.kabylake_r,ifwi.tigerlake,ifwi.whiskeylake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</si>
  <si>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</si>
  <si>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</si>
  <si>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</si>
  <si>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</si>
  <si>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TLS PKI Hash Management option in MEBx</t>
  </si>
  <si>
    <t>CSS-IVE-75943</t>
  </si>
  <si>
    <t>bios.alderlake,bios.amberlake,bios.arrowlake,bios.cannonlake,bios.coffeelake,bios.cometlake,bios.kabylake,bios.kabylake_r,bios.lunarlake,bios.meteorlake,bios.pantherlake,bios.pantherlake-p,bios.raptorlake,bios.rocketlake,bios.skylake,bios.tigerlake,bios.whiskeylake,ifwi.amberlake,ifwi.arrowlake,ifwi.cannonlake,ifwi.coffeelake,ifwi.cometlake,ifwi.kabylake,ifwi.kabylake_r,ifwi.lunarlake,ifwi.meteorlake,ifwi.raptorlake,ifwi.skylake,ifwi.tigerlake,ifwi.whiskeylake</t>
  </si>
  <si>
    <t>Verify Dynamic DNS Update enable/disable with Shared/Dedicated FQDN mode in MEBX</t>
  </si>
  <si>
    <t>CSS-IVE-75865</t>
  </si>
  <si>
    <t>bios.alderlake,bios.amberlake,bios.cannonlake,bios.coffeelake,bios.cometlake,bios.kabylake,bios.kabylake_r,bios.pantherlake,bios.pantherlake-p,bios.raptorlake,bios.rocketlake,bios.skylake,bios.tigerlake,bios.whiskeylake,ifwi.amberlake,ifwi.cannonlake,ifwi.coffeelake,ifwi.cometlake,ifwi.kabylake,ifwi.kabylake_r,ifwi.skylake,ifwi.tigerlake,ifwi.whiskeylake</t>
  </si>
  <si>
    <t>Verify that MEBx shall suppress IP configuration menu when LAN-less platform is detected</t>
  </si>
  <si>
    <t>CSS-IVE-76109</t>
  </si>
  <si>
    <t>bios.alderlake,bios.arrowlake,bios.lunarlake,bios.meteorlake,bios.pantherlake,bios.pantherlake-p,bios.raptorlake,ifwi.amberlake,ifwi.cannonlake,ifwi.coffeelake,ifwi.cometlake,ifwi.kabylake,ifwi.kabylake_r,ifwi.skylake,ifwi.tigerlake,ifwi.whiskeylake</t>
  </si>
  <si>
    <t>Verify BIOS shall display Corporate SKU or Consumer SKU based on IFWI image flashed</t>
  </si>
  <si>
    <t>CSS-IVE-76127</t>
  </si>
  <si>
    <t>bios.me,fw.ifwi.bios,fw.ifwi.csme</t>
  </si>
  <si>
    <t>bios.alderlake,bios.amberlake,bios.arrowlake,bios.cannonlake,bios.coffeelake,bios.cometlake,bios.icelake-client,bios.kabylake,bios.kabylake_r,bios.lunarlake,bios.meteorlake,bios.pantherlake,bios.pantherlake-p,bios.raptorlake,bios.raptorlake_refresh,bios.rocketlake,bios.tigerlake,bios.whiskeylake,ifwi.amberlake,ifwi.arrowlake,ifwi.cannonlake,ifwi.coffeelake,ifwi.cometlake,ifwi.icelake,ifwi.kabylake,ifwi.kabylake_r,ifwi.raptorlake,ifwi.raptorlake_refresh,ifwi.tigerlake,ifwi.whiskeylake</t>
  </si>
  <si>
    <t>DRAM Initialization done message should be sent by BIOS post System Transition from G3,S4 and S5 to S0 state</t>
  </si>
  <si>
    <t>CSS-IVE-145021</t>
  </si>
  <si>
    <t>Verify Idle Timeout value can be set in MEBx</t>
  </si>
  <si>
    <t>CSS-IVE-73225</t>
  </si>
  <si>
    <t>bios.alderlake,bios.arrowlake,bios.lunarlake,bios.meteorlake,bios.pantherlake,bios.pantherlake-p,bios.raptorlake,ifwi.alderlake,ifwi.amberlake,ifwi.cannonlake,ifwi.coffeelake,ifwi.cometlake,ifwi.kabylake,ifwi.kabylake_r,ifwi.tigerlake,ifwi.whiskeylake</t>
  </si>
  <si>
    <t>Verify that the Active Management Technology (AMT) reflects correct state of Enabled or Disabled depending upon MEBX</t>
  </si>
  <si>
    <t>CSS-IVE-73228</t>
  </si>
  <si>
    <t>Verify "Opt-in Configurable from IT" option can be successfully enabled/disabled in MEBX</t>
  </si>
  <si>
    <t>CSS-IVE-73237</t>
  </si>
  <si>
    <t>Verify AMT Configuration in BIOS is not configurable when KVM session is active</t>
  </si>
  <si>
    <t>CSS-IVE-147210</t>
  </si>
  <si>
    <t>bios.alderlake,bios.arrowlake,bios.lunarlake,bios.raptorlake,bios.tigerlake,ifwi.lunarlake,ifwi.tigerlake</t>
  </si>
  <si>
    <t>Validate Type-C USB2.0 Host Mode (Type-C to A) functionality - after S5, device connected when SUT is in S5 State</t>
  </si>
  <si>
    <t>CSS-IVE-76578</t>
  </si>
  <si>
    <t>bios.alderlake,bios.amberlake,bios.apollolake,bios.arrowlake,bios.broxton,bios.cannonlake,bios.geminilake,bios.icelake-client,bios.jasperlake,bios.kabylake,bios.kabylake_r,bios.lakefield,bios.lunarlake,bios.meteorlake,bios.pantherlake,bios.pantherlake-p,bios.raptorlake,bios.raptorlake_refresh,bios.rocketlake,bios.tigerlake,ifwi.amberlake,ifwi.apollolake,ifwi.broxton,ifwi.cannonlake,ifwi.geminilake,ifwi.icelake,ifwi.kabylake,ifwi.kabylake_r,ifwi.lakefield,ifwi.raptorlake_refresh,ifwi.tigerlake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</si>
  <si>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</si>
  <si>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</si>
  <si>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</si>
  <si>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</si>
  <si>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aptorlake_refresh,bios.rocketlake,bios.tigerlake,bios.whiskeylake,ifwi.amberlake,ifwi.apollolake,ifwi.broxton,ifwi.cannonlake,ifwi.coffeelake,ifwi.cometlake,ifwi.geminilake,ifwi.icelake,ifwi.kabylake,ifwi.kabylake_r,ifwi.lakefield,ifwi.raptorlake_refresh,ifwi.tigerlake,ifwi.whiskeylake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</si>
  <si>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</si>
  <si>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</si>
  <si>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</si>
  <si>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</si>
  <si>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</si>
  <si>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</si>
  <si>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Verify Discrete Wi-Fi functional test post S3 cycle</t>
  </si>
  <si>
    <t>CSS-IVE-77306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</si>
  <si>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raptorlake,ifwi.raptorlake_refresh,ifwi.tigerlake,ifwi.whiskeylake</t>
  </si>
  <si>
    <t>Validate Graphics turbo frequency is achieved by system pre and post S3 cycle</t>
  </si>
  <si>
    <t>CSS-IVE-77469</t>
  </si>
  <si>
    <t>bios.alderlake,bios.apollolake,bios.arrowlake,bios.cannonlake,bios.coffeelake,bios.cometlake,bios.geminilake,bios.icelake-client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raptorlake,ifwi.raptorlake_refresh,ifwi.tigerlake,ifwi.whiskeylake</t>
  </si>
  <si>
    <t>System stability test while performing G3 with ongoing video playback</t>
  </si>
  <si>
    <t>CSS-IVE-80393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</si>
  <si>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broxton,ifwi.cannonlake,ifwi.coffeelake,ifwi.cometlake,ifwi.geminilake,ifwi.icelake,ifwi.kabylake,ifwi.kabylake_r,ifwi.raptorlake,ifwi.raptorlake_refresh,ifwi.tigerlake,ifwi.whiskeylake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</si>
  <si>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</si>
  <si>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</si>
  <si>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</si>
  <si>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CSS-IVE-80397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</si>
  <si>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</si>
  <si>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System stability test while performing Sleep S3 cycles with ongoing video playback on external displays</t>
  </si>
  <si>
    <t>CSS-IVE-80398</t>
  </si>
  <si>
    <t>bios.alderlake,bios.apollolake,bios.arrowlake,bios.cannonlake,bios.coffeelake,bios.cometlake,bios.geminilake,bios.icelake-client,bios.jasperlake,bios.kabylake,bios.kabylake_r,bios.lunarlake,bios.meteorlake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</si>
  <si>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System stability test while performing Hybrid Sleep cycles with ongoing video playback</t>
  </si>
  <si>
    <t>CSS-IVE-80694</t>
  </si>
  <si>
    <t>bios.alderlake,bios.apollolake,bios.arrowlake,bios.cannonlake,bios.coffeelake,bios.cometlake,bios.geminilake,bios.icelake-client,bios.jasperlake,bios.kabylake,bios.kabylake_r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</si>
  <si>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Validate Cold Reboot Cycles with Online Video Streaming</t>
  </si>
  <si>
    <t>CSS-IVE-86579</t>
  </si>
  <si>
    <t>Validate Warm Reboot Cycles with Online Video Streaming</t>
  </si>
  <si>
    <t>CSS-IVE-86580</t>
  </si>
  <si>
    <t>bios.alderlake,bios.amberlake,bios.apollolake,bios.arrowlake,bios.broxton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</si>
  <si>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Validate Hibernate Cycles with Online Video Streaming</t>
  </si>
  <si>
    <t>CSS-IVE-86581</t>
  </si>
  <si>
    <t>Validate Sleep Cycles with online video streaming</t>
  </si>
  <si>
    <t>CSS-IVE-86582</t>
  </si>
  <si>
    <t>bios.alderlake,bios.apollolake,bios.arrowlake,bios.cannonlake,bios.coffeelake,bios.cometlake,bios.geminilake,bios.icelake-client,bios.jasperlake,bios.kabylake,bios.kabylake_r,bios.lunarlake,bios.meteorlake,bios.pantherlake,bios.pantherlake-p,bios.raptorlake,bios.raptorlake_refresh,bios.rocketlake,bios.tigerlake,bios.whiskeylake,ifwi.apollolake,ifwi.arrowlake,ifwi.cannonlake,ifwi.coffeelake,ifwi.cometlake,ifwi.geminilake,ifwi.icelake,ifwi.kabylake,ifwi.kabylake_r,ifwi.lunarlake,ifwi.meteorlake,ifwi.raptorlake,ifwi.raptorlake_refresh,ifwi.tigerlake,ifwi.whiskeylake</t>
  </si>
  <si>
    <t>Validate Hybrid Sleep Cycles with online video streaming</t>
  </si>
  <si>
    <t>CSS-IVE-86583</t>
  </si>
  <si>
    <t>Verify WWAN functionality pre and post S3 cycle</t>
  </si>
  <si>
    <t>CSS-IVE-89432</t>
  </si>
  <si>
    <t>bios.alderlake,bios.amberlake,bios.apollolake,bios.arrowlake,bios.cannonlake,bios.coffeelake,bios.cometlake,bios.geminilake,bios.icelake-client,bios.kabylake,bios.kabylake_r,bios.lunarlake,bios.meteorlake,bios.pantherlake,bios.pantherlake-p,bios.raptorlake,bios.raptorlake_refresh,bios.tigerlake,bios.whiskeylake,ifwi.amberlake,ifwi.apollolake,ifwi.arrowlake,ifwi.cannonlake,ifwi.coffeelake,ifwi.cometlake,ifwi.geminilake,ifwi.icelake,ifwi.kabylake,ifwi.kabylake_r,ifwi.raptorlake,ifwi.raptorlake_refresh,ifwi.tigerlake,ifwi.whiskeylake</t>
  </si>
  <si>
    <t>Verify WWAN functionality pre and post Disconnected Modern Standby (DMS) cycle</t>
  </si>
  <si>
    <t>CSS-IVE-89492</t>
  </si>
  <si>
    <t>bios.alderlake,bios.apollolake,bios.arrowlake,bios.cannonlake,bios.coffeelake,bios.cometlake,bios.icelake-client,bios.kabylake,bios.kabylake_r,bios.lunarlake,bios.meteorlake,bios.pantherlake,bios.pantherlake-p,bios.raptorlake,bios.raptorlake_refresh,bios.tigerlake,bios.whiskeylake,ifwi.apollolake,ifwi.cannonlake,ifwi.coffeelake,ifwi.cometlake,ifwi.icelake,ifwi.kabylake,ifwi.kabylake_r,ifwi.meteorlake,ifwi.raptorlake,ifwi.raptorlake_refresh,ifwi.tigerlake,ifwi.whiskeylake</t>
  </si>
  <si>
    <t>Validate CMS/S0i3 cycles with online video streaming</t>
  </si>
  <si>
    <t>CSS-IVE-89996</t>
  </si>
  <si>
    <t>Verify Discrete Wi-Fi functionality test pre and post Disconnected Modern Standby (DMS)</t>
  </si>
  <si>
    <t>CSS-IVE-90973</t>
  </si>
  <si>
    <t>bios.alderlake,bios.apollolake,bios.arrowlake,bios.broxton,bios.cannonlake,bios.coffeelake,bios.cometlake,bios.geminilake,bios.icelake-client,bios.jasperlake,bios.kabylake,bios.kabylake_r,bios.meteorlake,bios.raptorlake,bios.rocketlake,bios.tigerlake,ifwi.apollolake,ifwi.arrowlake,ifwi.broxton,ifwi.cannonlake,ifwi.coffeelake,ifwi.cometlake,ifwi.geminilake,ifwi.icelake,ifwi.kabylake,ifwi.kabylake_r,ifwi.meteorlake,ifwi.raptorlake,ifwi.tigerlake</t>
  </si>
  <si>
    <t>Validate Graphics turbo frequency is achieved by system pre and post DMS/S0i3 cycle</t>
  </si>
  <si>
    <t>CSS-IVE-90979</t>
  </si>
  <si>
    <t>bios.alderlake,bios.apollolake,bios.arrowlake,bios.broxton,bios.cannonlake,bios.cometlake,bios.geminilake,bios.icelake-client,bios.kabylake,bios.kabylake_r,bios.lakefield,bios.meteorlake,bios.raptorlake,bios.raptorlake_refresh,bios.rocketlake,bios.tigerlake,ifwi.apollolake,ifwi.arrowlake,ifwi.broxton,ifwi.cannonlake,ifwi.cometlake,ifwi.geminilake,ifwi.icelake,ifwi.kabylake,ifwi.kabylake_r,ifwi.lakefield,ifwi.meteorlake,ifwi.raptorlake,ifwi.raptorlake_refresh,ifwi.tigerlake</t>
  </si>
  <si>
    <t>System stability test while performing CMS/S0i3 cycles with ongoing video playback</t>
  </si>
  <si>
    <t>CSS-IVE-90983</t>
  </si>
  <si>
    <t>Verify system attains responsiveness metrics with PTT enabled Corporate IFWI</t>
  </si>
  <si>
    <t>CSS-IVE-91102</t>
  </si>
  <si>
    <t>bios.alderlake,bios.amberlake,bios.arrowlake,bios.cannonlake,bios.coffeelake,bios.cometlake,bios.kabylake,bios.kabylake_r,bios.lunarlake,bios.meteorlake,bios.pantherlake,bios.pantherlake-p,bios.raptorlake,bios.rocketlake,bios.tigerlake</t>
  </si>
  <si>
    <t>Verify system attains responsiveness metrics with PTT disabled Corporate IFWI with dTPM connected</t>
  </si>
  <si>
    <t>CSS-IVE-91105</t>
  </si>
  <si>
    <t>bios.alderlake,bios.amberlake,bios.arrowlake,bios.cannonlake,bios.coffeelake,bios.cometlake,bios.kabylake,bios.kabylake_r,bios.lunarlake,bios.meteorlake,bios.raptorlake,bios.tigerlake</t>
  </si>
  <si>
    <t>Validate Type-C USB2.0 Host Mode (Type-C to A) functionality - after S4, device connected when SUT is in S4 State</t>
  </si>
  <si>
    <t>CSS-IVE-90954</t>
  </si>
  <si>
    <t>Verify CNVi Bluetooth Functionality in OS before/after disconnected MoS cycle</t>
  </si>
  <si>
    <t>CSS-IVE-95147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</si>
  <si>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</si>
  <si>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Verify CNVi WLAN Functionality in OS before/after S3 cycle</t>
  </si>
  <si>
    <t>CSS-IVE-95149</t>
  </si>
  <si>
    <t>bios.alderlake,bios.arrowlake,bios.cannonlake,bios.coffeelake,bios.cometlake,bios.geminilake,bios.icelake-client,bios.jasperlake,bios.lunarlake,bios.meteorlake,bios.pantherlake,bios.pantherlake-p,bios.raptorlake,bios.raptorlake_refresh,bios.rocketlake,bios.tigerlake,bios.whiskeylake,ifwi.arrowlake,ifwi.cannonlake,ifwi.coffeelake,ifwi.cometlake,ifwi.geminilake,ifwi.icelake,ifwi.raptorlake,ifwi.raptorlake_refresh,ifwi.tigerlake,ifwi.whiskeylake</t>
  </si>
  <si>
    <t>Verify CNVi WLAN Functionality in OS before/after disconnected Mos Cycle</t>
  </si>
  <si>
    <t>CSS-IVE-95152</t>
  </si>
  <si>
    <t>bios.alderlake,bios.arrowlake,bios.cannonlake,bios.coffeelake,bios.cometlake,bios.geminilake,bios.icelake-client,bios.jasperlake,bios.meteorlake,bios.pantherlake,bios.pantherlake-p,bios.raptorlake,bios.rocketlake,bios.tigerlake,bios.whiskeylake,ifwi.arrowlake,ifwi.cannonlake,ifwi.coffeelake,ifwi.cometlake,ifwi.geminilake,ifwi.icelake,ifwi.meteorlake,ifwi.raptorlake,ifwi.tigerlake,ifwi.whiskeylake</t>
  </si>
  <si>
    <t>Verify CNVi WLAN and Bluetooth functionality in OS with RF Kill switch enabled on board</t>
  </si>
  <si>
    <t>CSS-IVE-95225</t>
  </si>
  <si>
    <t>bios.alderlake,bios.arrowlake,bios.cannonlake,bios.coffeelake,bios.cometlake,bios.geminilake,bios.icelake-client,bios.jasperlake,bios.lunarlake,bios.meteorlake,bios.raptorlake,bios.raptorlake_refresh,bios.rocketlake,bios.tigerlake,bios.whiskeylake,ifwi.arrowlake,ifwi.cannonlake,ifwi.coffeelake,ifwi.cometlake,ifwi.geminilake,ifwi.icelake,ifwi.raptorlake,ifwi.raptorlake_refresh,ifwi.tigerlake,ifwi.whiskeylake</t>
  </si>
  <si>
    <t>Verify flashing of BIOS using FPT tool followed by Global Reset</t>
  </si>
  <si>
    <t>CSS-IVE-97286</t>
  </si>
  <si>
    <t>bios.alderlake,bios.amberlake,bios.apollolake,bios.arrowlake,bios.cannonlake,bios.coffeelake,bios.cometlake,bios.geminilake,bios.icelake-client,bios.jasperlake,bios.kabylake,bios.lakefield,bios.lunarlake,bios.meteorlake,bios.raptorlake,bios.raptorlake_refresh,bios.rocketlake,bios.tigerlake,bios.whiskeylake,ifwi.amberlake,ifwi.apollolake,ifwi.arrowlake,ifwi.cannonlake,ifwi.coffeelake,ifwi.cometlake,ifwi.geminilake,ifwi.icelake,ifwi.kabylake,ifwi.lakefield,ifwi.lunarlake,ifwi.meteorlake,ifwi.raptorlake,ifwi.tigerlake,ifwi.whiskeylake</t>
  </si>
  <si>
    <t>Verification of Connected Standby with AMT features enabled in BIOS</t>
  </si>
  <si>
    <t>CSS-IVE-130395</t>
  </si>
  <si>
    <t>bios.arrowlake,bios.pantherlake,bios.pantherlake-p,bios.raptorlake,bios.rocketlake,bios.tigerlake,ifwi.alderlake,ifwi.arrowlake,ifwi.lunarlake,ifwi.meteorlake,ifwi.raptorlake,ifwi.rocketlake</t>
  </si>
  <si>
    <t>CSS-IVE-130946</t>
  </si>
  <si>
    <t>bios.arrowlake,bios.raptorlake,ifwi.alderlake,ifwi.arrowlake,ifwi.jasperlake,ifwi.lunarlake,ifwi.meteorlake,ifwi.raptorlake</t>
  </si>
  <si>
    <t>Verify Local USB Keyboard and mouse functionality during USB-R session</t>
  </si>
  <si>
    <t>CSS-IVE-131351</t>
  </si>
  <si>
    <t>bios.arrowlake,bios.lunarlake,bios.meteorlake,bios.pantherlake,bios.pantherlake-p,bios.raptorlake,bios.rocketlake,bios.tigerlake,ifwi.alderlake,ifwi.arrowlake,ifwi.lunarlake,ifwi.meteorlake,ifwi.raptorlake,ifwi.rocketlake</t>
  </si>
  <si>
    <t>Verify SUT ability to Start Storage Redirection Session over Wireless LAN post Sx cycle</t>
  </si>
  <si>
    <t>CSS-IVE-131526</t>
  </si>
  <si>
    <t>fw.ifwi.csme</t>
  </si>
  <si>
    <t>bios.raptorlake,bios.rocketlake,ifwi.alderlake,ifwi.arrowlake,ifwi.lunarlake,ifwi.meteorlake,ifwi.raptorlake,ifwi.rocketlake</t>
  </si>
  <si>
    <t>Verify SUT ability to Start Storage Redirection Session over Wireless LAN post CMS cycle</t>
  </si>
  <si>
    <t>CSS-IVE-131529</t>
  </si>
  <si>
    <t>Verify the KVM session after 2 S5 cycles</t>
  </si>
  <si>
    <t>CSS-IVE-131883</t>
  </si>
  <si>
    <t>bios.arrowlake,bios.lunarlake,bios.meteorlake,bios.pantherlake,bios.pantherlake-p,bios.raptorlake,bios.tigerlake,ifwi.alderlake,ifwi.arrowlake,ifwi.lunarlake,ifwi.meteorlake,ifwi.raptorlake,ifwi.rocketlake</t>
  </si>
  <si>
    <t>With Storage redirection disabled in MEBX, verify Storage redirection session cannot be established with IMRGUI through Wired LAN</t>
  </si>
  <si>
    <t>CSS-IVE-131887</t>
  </si>
  <si>
    <t>bios.arrowlake,bios.lunarlake,bios.raptorlake,bios.tigerlake,ifwi.alderlake,ifwi.meteorlake,ifwi.raptorlake,ifwi.rocketlake</t>
  </si>
  <si>
    <t>Verify Storage Redirection session cannot be established with IMRGUI through Wireless LAN With Storage Redirection disabled in MEBX</t>
  </si>
  <si>
    <t>CSS-IVE-131891</t>
  </si>
  <si>
    <t>bios.arrowlake,bios.lunarlake,bios.meteorlake,bios.pantherlake,bios.pantherlake-p,bios.raptorlake,ifwi.alderlake,ifwi.meteorlake,ifwi.raptorlake,ifwi.rocketlake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</si>
  <si>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</si>
  <si>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</si>
  <si>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</si>
  <si>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</si>
  <si>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</si>
  <si>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</si>
  <si>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4K Display functionality over type-C port with PCIE tunneling enabled and disabled</t>
  </si>
  <si>
    <t>CSS-IVE-133674</t>
  </si>
  <si>
    <t>verify BIOS supports Power meter</t>
  </si>
  <si>
    <t>bios.meteorlake,bios.raptorlake,bios.raptorlake_refresh</t>
  </si>
  <si>
    <t>Verify IPU-Camera Sensor module enumeration with G1 Card, Pre and Post S4, S5 and Warm/cold reset cycles</t>
  </si>
  <si>
    <t>bios.alderlake,bios.raptorlake,bios.tigerlake,ifwi.alderlake,ifwi.raptorlake,ifwi.tigerlake</t>
  </si>
  <si>
    <t>Verify FHD USB camera is functioning properly for capturing images &amp; video with S4, S5 and warm/cold reset cycles</t>
  </si>
  <si>
    <t>CSS-IVE-86896</t>
  </si>
  <si>
    <t>bios.alderlake,bios.arrowlake,bios.lunarlake,bios.meteorlake,bios.raptorlake,bios.raptorlake_refresh,bios.tigerlake,ifwi.alderlake,ifwi.arrowlake,ifwi.meteorlake,ifwi.raptorlake,ifwi.raptorlake_refresh,ifwi.tigerlake</t>
  </si>
  <si>
    <t>Verify DFD Restore setup option is not present in BIOS</t>
  </si>
  <si>
    <t>Verify TBT IOMMU and segment support option removal in BIOS</t>
  </si>
  <si>
    <t>bios.alderlake,bios.arrowlake,bios.raptorlake,bios.raptorlake_refresh</t>
  </si>
  <si>
    <t>Perform Sx(S3, S4 and S5) with OS installed in SATA HDD</t>
  </si>
  <si>
    <t>CSS-IVE-101003</t>
  </si>
  <si>
    <t>Verifying SSID and SVID updated in BIOS and OS</t>
  </si>
  <si>
    <t>bios.alderlake,bios.raptorlake,bios.raptorlake_refresh,bios.tigerlake</t>
  </si>
  <si>
    <t>Verify DP-In Cold-plug functionality with External Graphics (Internal only- iGFx)</t>
  </si>
  <si>
    <t>Verify DP-In Cold-plug functionality with External Graphics (Runtime Switch)</t>
  </si>
  <si>
    <t>Verify non USB2 and USB3 functionality working through Type-C TBT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</si>
  <si>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</si>
  <si>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</si>
  <si>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</si>
  <si>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</si>
  <si>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</si>
  <si>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</si>
  <si>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bios.arrowlake,bios.lunarlake,bios.meteorlake,bios.pantherlake,bios.pantherlake-p,bios.raptorlake</t>
  </si>
  <si>
    <t>Verify BIOS supports for Audio DSP (ADSP) Enabled/disabled Fuses</t>
  </si>
  <si>
    <t>CSS-IVE-73619</t>
  </si>
  <si>
    <t>Verify NPK IP IMR  allocating above 4GB</t>
  </si>
  <si>
    <t>bios.arrowlake,bios.lunarlake,bios.meteorlake,bios.pantherlake-p,bios.pantherlake-u,bios.raptorlake,bios.raptorlake_refresh</t>
  </si>
  <si>
    <t>Verify and compare the debug logs for MRC training should be succeed and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</si>
  <si>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</si>
  <si>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</si>
  <si>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</si>
  <si>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</si>
  <si>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</si>
  <si>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</si>
  <si>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bios.alderlake,bios.arrowlake,bios.icelake-client,bios.meteorlake,bios.raptorlake,bios.raptorlake_refresh,bios.tigerlake</t>
  </si>
  <si>
    <t>Verify functionality of TBT3 Dock (hot plug) before and after resume from S3 for 5 cycles</t>
  </si>
  <si>
    <t>CSS-IVE-119264</t>
  </si>
  <si>
    <t>bios.alderlake,bios.arrowlake,bios.icelake-client,bios.kabylake_r,bios.lunarlake,bios.meteorlake,bios.pantherlake,bios.pantherlake-p,bios.raptorlake,bios.raptorlake_refresh,bios.rocketlake,bios.tigerlake</t>
  </si>
  <si>
    <t>Verify data transfer operation between multiple TBT3 storages, before/after S3 Cycle</t>
  </si>
  <si>
    <t>bios.alderlake,bios.amberlake,bios.arrowlake,bios.cannonlake,bios.coffeelake,bios.cometlake,bios.icelake-client,bios.kabylake,bios.kabylake_r,bios.lunarlake,bios.meteorlake,bios.raptorlake,bios.raptorlake_refresh,bios.rocketlake,bios.tigerlake,bios.whiskeylake,ifwi.amberlake,ifwi.cannonlake,ifwi.coffeelake,ifwi.cometlake,ifwi.icelake,ifwi.kabylake,ifwi.kabylake_r,ifwi.raptorlake_refresh,ifwi.tigerlake,ifwi.whiskeylake</t>
  </si>
  <si>
    <t>Verify multiple display output when displays connected with dual TBT controller after S3 cycles - 2 TBT Displays</t>
  </si>
  <si>
    <t>bios.alderlake,bios.arrowlake,bios.icelake-client,bios.lunarlake,bios.meteorlake,bios.raptorlake,bios.raptorlake_refresh,bios.tigerlake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</si>
  <si>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</si>
  <si>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</si>
  <si>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</si>
  <si>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</si>
  <si>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</si>
  <si>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</si>
  <si>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</si>
  <si>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</si>
  <si>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</si>
  <si>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</si>
  <si>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</si>
  <si>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</si>
  <si>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</si>
  <si>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</si>
  <si>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</si>
  <si>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</si>
  <si>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</si>
  <si>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bios.alderlake,bios.arrowlake,bios.cannonlake,bios.coffeelake,bios.cometlake,bios.icelake-client,bios.kabylake,bios.kabylake_r,bios.lunarlake,bios.meteorlake,bios.pantherlake,bios.pantherlake-p,bios.raptorlake,bios.raptorlake_refresh,bios.rocketlake,bios.tigerlake,bios.whiskeylake,ifwi.cannonlake,ifwi.coffeelake,ifwi.cometlake,ifwi.icelake,ifwi.kabylake,ifwi.kabylake_r,ifwi.raptorlake_refresh,ifwi.tigerlake,ifwi.whiskeylake</t>
  </si>
  <si>
    <t>Verify TBT3 devices functionality after S3 cycles connected behind TBT4-Dock</t>
  </si>
  <si>
    <t>bios.alderlake,bios.arrowlake,bios.lunarlake,bios.meteorlake,bios.pantherlake,bios.pantherlake-p,bios.raptorlake,bios.raptorlake_refresh,bios.tigerlake,bios.tigerlake_refresh</t>
  </si>
  <si>
    <t>Verify TBT3 devices functionality after cold boot connected behind TBT4-Dock</t>
  </si>
  <si>
    <t>Verify TBT3 devices functionality connected behind TBT4-Dock and reversibility</t>
  </si>
  <si>
    <t>bios.alderlake,bios.arrowlake,bios.lunarlake,bios.meteorlake,bios.pantherlake,bios.pantherlake-p,bios.raptorlake,bios.raptorlake_refresh,bios.tigerlake,bios.tigerlake_refresh,ifwi.alderlake,ifwi.raptorlake_refresh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</si>
  <si>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</si>
  <si>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</si>
  <si>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bios.alderlake,bios.arrowlake,bios.meteorlake,bios.pantherlake,bios.pantherlake-p,bios.raptorlake,ifwi.alderlake,ifwi.arrowlake,ifwi.meteorlake,ifwi.raptorlake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</si>
  <si>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</si>
  <si>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</si>
  <si>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</si>
  <si>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</si>
  <si>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Verify DP-display and Keyboard functionality over USB Type-C port before and after S3 state</t>
  </si>
  <si>
    <t>Verify DP-display and Keyboard functionality over USB Type-C port before and after CMS state</t>
  </si>
  <si>
    <t>bios.alderlake,bios.arrowlake,bios.cannonlake,bios.coffeelake,bios.geminilake,bios.icelake-client,bios.jasperlake,bios.kabylake_r,bios.lakefield,bios.lunarlake,bios.meteorlake,bios.pantherlake,bios.pantherlake-p,bios.raptorlake,bios.raptorlake_refresh,bios.rocketlake,bios.tigerlake,bios.whiskeylake,ifwi.lunarlak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</si>
  <si>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</si>
  <si>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</si>
  <si>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</si>
  <si>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</si>
  <si>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</si>
  <si>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</si>
  <si>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Verify remote control over TBT vPro dock with MCTP enabled</t>
  </si>
  <si>
    <t>Negative: Verify DMIC basic functionality test over High Definition Audio (HDA) Codec</t>
  </si>
  <si>
    <t>CSS-IVE-145663</t>
  </si>
  <si>
    <t>bios.amberlake,bios.arrowlake,bios.lunarlake,bios.meteorlake,bios.raptorlake,bios.rocketlake</t>
  </si>
  <si>
    <t>Negative: Verify DMIC basic functionality test over Soundwire Audio Codec</t>
  </si>
  <si>
    <t>Negative: Verify display audio enumeration in OS</t>
  </si>
  <si>
    <t>CSS-IVE-76597</t>
  </si>
  <si>
    <t>bios.arrowlake,bios.lunarlake,bios.meteorlake,bios.raptorlake,bios.raptorlake_refresh</t>
  </si>
  <si>
    <t>[Negative] Verify BIOS  option to disable Serial debug messages</t>
  </si>
  <si>
    <t>bios.pantherlake,bios.pantherlake-p,bios.raptorlake,bios.raptorlake_refresh</t>
  </si>
  <si>
    <t>Negative: Verify GT PSMI Support in BIOS</t>
  </si>
  <si>
    <t>CSS-IVE-105610</t>
  </si>
  <si>
    <t>bios.arrowlake,bios.lunarlake,bios.meteorlake,bios.pantherlake,bios.pantherlake-p,bios.raptorlake,bios.raptorlake_refresh</t>
  </si>
  <si>
    <t>[Negative] Verify PSMI handler memory Reservation and configuring doesn't work when PSMI size set to 0 KB</t>
  </si>
  <si>
    <t>bios.lunarlake,bios.meteorlake,bios.pantherlake-s,bios.raptorlake,bios.raptorlake_refresh</t>
  </si>
  <si>
    <t>[Negative]Verify Re-arm command  after disabling Re-arm BIOS knob</t>
  </si>
  <si>
    <t>bios.lunarlake,bios.pantherlake,bios.pantherlake-p,bios.raptorlake,bios.raptorlake_refresh</t>
  </si>
  <si>
    <t>Negative: Verify USB-Audio offload when System in CMS</t>
  </si>
  <si>
    <t>[Negative]Verify BIOS ACPI debug messages capture when ACPI Debug BIOS option disabled</t>
  </si>
  <si>
    <t>[Negative] Verify Platform supports SoC crash by disabling crash log BIOS option</t>
  </si>
  <si>
    <t>bios.lunarlake,bios.meteorlake,bios.pantherlake,bios.pantherlake-p,bios.raptorlake,bios.raptorlake_refresh,bios.rocketlake</t>
  </si>
  <si>
    <t>Verify CrashLog Clear Enable Bios option disabled by default</t>
  </si>
  <si>
    <t>bios.raptorlake,bios.raptorlake_refresh</t>
  </si>
  <si>
    <t>Verify Keylocker when Hybrid Core is disabled</t>
  </si>
  <si>
    <t>Verify BIOS ACPI debug messages BIOS option disabled by default in the BIOS page</t>
  </si>
  <si>
    <t>bios.lunarlake,bios.meteorlake,bios.pantherlake,bios.pantherlake-p,bios.raptorlake,bios.raptorlake_refresh</t>
  </si>
  <si>
    <t>Verify NPK IP IMR  allocation when PDC is disabled</t>
  </si>
  <si>
    <t>bios.lunarlake,bios.pantherlake-p,bios.pantherlake-u,bios.raptorlake,bios.raptorlake_refresh</t>
  </si>
  <si>
    <t>Verify USB2 DbC Functionality  using Type C when platform debug consent BIOS option disable</t>
  </si>
  <si>
    <t>CSS-IVE-113645</t>
  </si>
  <si>
    <t>Verify Platform Flavor for  SBGA Platforms</t>
  </si>
  <si>
    <t>bios.alderlake,bios.arrowlake,bios.meteorlake,bios.raptorlake,bios.raptorlake_refresh</t>
  </si>
  <si>
    <t>Verify RTIT(Run Time Instruction Trace) feature for Processor Trace BIOS option disabled</t>
  </si>
  <si>
    <t>Verify SUT does not wake from S3 on Scan matrix key press does once its disabled for BIOS</t>
  </si>
  <si>
    <t>Negative: Verify Audio Playback using 3.5mm-Jack-Headset over HD-A Codec</t>
  </si>
  <si>
    <t>Negative: Verify Audio Playback using 3.5mm-Jack-Headset over Soundwire Codec</t>
  </si>
  <si>
    <t>Verify if BIOS S3 resume time and suspend time are exceeded with VMD enabled</t>
  </si>
  <si>
    <t>Verify SUT dose not enters to Pseudo G3 state when type-C adaptor connected</t>
  </si>
  <si>
    <t>bios.cpu_pm,bios.pch,bios.platform</t>
  </si>
  <si>
    <t>Verify BIOS support USB4 v2.0 SW CM Mode for Barlow Ridge</t>
  </si>
  <si>
    <t>bios.arrowlake,bios.lunarlake,bios.meteorlake,bios.pantherlake-m,bios.pantherlake-p,bios.pantherlake-px,bios.pantherlake-s,bios.raptorlake,bios.raptorlake_refresh</t>
  </si>
  <si>
    <t>Verify CMUV configuration for supporting Barlow Ridge</t>
  </si>
  <si>
    <t>bios.arrowlake,bios.raptorlake,bios.raptorlake_refresh</t>
  </si>
  <si>
    <t>BIOS/Security Code Review, Analysis Test</t>
  </si>
  <si>
    <t>hdave</t>
  </si>
  <si>
    <t>bios.test_content</t>
  </si>
  <si>
    <t>Verify Discrete Wi-Fi detection and functionality</t>
  </si>
  <si>
    <t>CSS-IVE-50988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</si>
  <si>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</si>
  <si>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</si>
  <si>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</si>
  <si>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</si>
  <si>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</si>
  <si>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</si>
  <si>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</si>
  <si>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</si>
  <si>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</si>
  <si>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</si>
  <si>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</si>
  <si>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</si>
  <si>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</si>
  <si>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</si>
  <si>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</si>
  <si>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</si>
  <si>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bios.alderlake,bios.arrowlake,bios.lunarlake,bios.meteorlake,bios.pantherlake,bios.pantherlake-h,bios.pantherlake-p,bios.pantherlake-u,bios.raptorlake,bios.rocketlake,bios.tigerlake</t>
  </si>
  <si>
    <t>Validate Type-C USB3.2 gen2x2 host mode functionality on hot insert and removal over Type-C port</t>
  </si>
  <si>
    <t>CSS-IVE-113757</t>
  </si>
  <si>
    <t>bios.alderlake,bios.arrowlake,bios.lunarlake,bios.meteorlake,bios.pantherlake,bios.pantherlake-p,bios.raptorlake,bios.rocketlake,bios.tigerlake,ifwi.alderlake,ifwi.arrowlake,ifwi.lunarlake,ifwi.meteorlake,ifwi.raptorlake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</si>
  <si>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</si>
  <si>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</si>
  <si>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</si>
  <si>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</si>
  <si>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</si>
  <si>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CSS-IVE-113769</t>
  </si>
  <si>
    <t>[TBT] Verify connection Swap during S3 with all Type-C ports - USB3.2 Gen2, USB3.0 Hub and USB2.0</t>
  </si>
  <si>
    <t>CSS-IVE-113770</t>
  </si>
  <si>
    <t>bios.alderlake,bios.arrowlake,bios.meteorlake,bios.pantherlake,bios.pantherlake-p,bios.raptorlake,bios.rocketlake,bios.tigerlake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</si>
  <si>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</si>
  <si>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</si>
  <si>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</si>
  <si>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</si>
  <si>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Type-C USB3.2 Gen1x1, Gen 2x1 functionality with multiple data transfer</t>
  </si>
  <si>
    <t>CSS-IVE-113791</t>
  </si>
  <si>
    <t>bios.arrowlake,bios.lunarlake,bios.meteorlake,bios.pantherlake,bios.pantherlake-p,bios.raptorlake,bios.raptorlake_refresh,bios.rocketlake,bios.tigerlake</t>
  </si>
  <si>
    <t>Verify Dual Controller Support - USB3.2 Gen2 storage functionality after Sx and reboot cycles</t>
  </si>
  <si>
    <t>CSS-IVE-113781</t>
  </si>
  <si>
    <t>bios.alderlake,bios.arrowlake,bios.meteorlake,bios.pantherlake,bios.pantherlake-p,bios.raptorlake,bios.raptorlake_refresh,bios.tigerlake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</si>
  <si>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</si>
  <si>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</si>
  <si>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</si>
  <si>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</si>
  <si>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changed BIOS settings do not effective on power button press before saving settings</t>
  </si>
  <si>
    <t>CSS-IVE-119229</t>
  </si>
  <si>
    <t>bios.alderlake,bios.amberlake,bios.arrowlake,bios.coffeelake,bios.cometlake,bios.icelake-client,bios.jasperlake,bios.lakefield,bios.lunarlake,bios.meteorlake,bios.raptorlake,bios.raptorlake_refresh,bios.rocketlake,bios.tigerlake,bios.whiskeylake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</si>
  <si>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</si>
  <si>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</si>
  <si>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</si>
  <si>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</si>
  <si>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</si>
  <si>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</si>
  <si>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bios.alderlake,bios.amberlake,bios.arrowlake,bios.cannonlake,bios.coffeelake,bios.cometlake,bios.icelake-client,bios.jasperlake,bios.kabylake,bios.kabylake_r,bios.lakefield,bios.lunarlake,bios.meteorlake,bios.raptorlake,bios.raptorlake_refresh,bios.rocketlake,bios.tigerlake,bios.whiskeylake,ifwi.amberlake,ifwi.cannonlake,ifwi.coffeelake,ifwi.cometlake,ifwi.icelake,ifwi.kabylake,ifwi.kabylake_r,ifwi.lakefield,ifwi.raptorlake_refresh,ifwi.tigerlake,ifwi.whiskeylake</t>
  </si>
  <si>
    <t>Verify functionality of TBT3 Dock (hot plug) before and after resume from S4,S5 for 5 cycles</t>
  </si>
  <si>
    <t>Verify TCSS FW version are updated in FVI table</t>
  </si>
  <si>
    <t>CSS-IVE-119266</t>
  </si>
  <si>
    <t>bios.alderlake,bios.arrowlake,bios.icelake-client,bios.lunarlake,bios.raptorlake,bios.raptorlake_refresh,bios.rocketlake,bios.tigerlake</t>
  </si>
  <si>
    <t>Verify DP-In Cold-plug functionality with External Graphics after S5 cycle</t>
  </si>
  <si>
    <t>CSS-IVE-118046</t>
  </si>
  <si>
    <t>bios.alderlake,bios.raptorlake,bios.tigerlake</t>
  </si>
  <si>
    <t>Verify Type-C device functionality before/after S4, S5 state when VCCST option is enabled/Disabled in BIOS</t>
  </si>
  <si>
    <t>CSS-IVE-119494</t>
  </si>
  <si>
    <t>bios.alderlake,bios.arrowlake,bios.icelake-client,bios.lunarlake,bios.meteorlake,bios.pantherlake,bios.pantherlake-p,bios.raptorlake,bios.raptorlake_refresh,bios.tigerlake,ifwi.lunarlake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</si>
  <si>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</si>
  <si>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</si>
  <si>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</si>
  <si>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</si>
  <si>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</si>
  <si>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</si>
  <si>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BIOS/Security Regression Tests</t>
  </si>
  <si>
    <t>vakula</t>
  </si>
  <si>
    <t>bios.arrowlake,bios.lunarlake,bios.meteorlake,bios.pantherlake,bios.pantherlake-h,bios.pantherlake-p,bios.pantherlake-u,bios.raptorlake,bios.raptorlake_refresh</t>
  </si>
  <si>
    <t>Verify AET trace log capture through NPK  when platform debug consent Option disabled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</si>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</sst>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5"/>
  <sheetViews>
    <sheetView tabSelected="1" workbookViewId="0">
      <selection activeCell="B1" sqref="B1"/>
    </sheetView>
  </sheetViews>
  <sheetFormatPr defaultRowHeight="14.4" x14ac:dyDescent="0.3"/>
  <sheetData>
    <row r="1" spans="1:6" x14ac:dyDescent="0.3">
      <c r="A1" t="s">
        <v>3339</v>
      </c>
      <c r="B1" t="s">
        <v>3340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tr">
        <f>HYPERLINK("https://hsdes.intel.com/resource/14013114695","14013114695")</f>
        <v>14013114695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3">
      <c r="A3" t="str">
        <f>HYPERLINK("https://hsdes.intel.com/resource/14013114711","14013114711")</f>
        <v>14013114711</v>
      </c>
      <c r="B3" t="s">
        <v>9</v>
      </c>
      <c r="C3" t="s">
        <v>10</v>
      </c>
      <c r="D3" t="s">
        <v>6</v>
      </c>
      <c r="E3" t="s">
        <v>7</v>
      </c>
      <c r="F3" t="s">
        <v>11</v>
      </c>
    </row>
    <row r="4" spans="1:6" x14ac:dyDescent="0.3">
      <c r="A4" t="str">
        <f>HYPERLINK("https://hsdes.intel.com/resource/14013114734","14013114734")</f>
        <v>14013114734</v>
      </c>
      <c r="B4" t="s">
        <v>12</v>
      </c>
      <c r="C4" t="s">
        <v>13</v>
      </c>
      <c r="D4" t="s">
        <v>6</v>
      </c>
      <c r="E4" t="s">
        <v>7</v>
      </c>
      <c r="F4" t="s">
        <v>14</v>
      </c>
    </row>
    <row r="5" spans="1:6" x14ac:dyDescent="0.3">
      <c r="A5" t="str">
        <f>HYPERLINK("https://hsdes.intel.com/resource/14013114751","14013114751")</f>
        <v>14013114751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</row>
    <row r="6" spans="1:6" x14ac:dyDescent="0.3">
      <c r="A6" t="str">
        <f>HYPERLINK("https://hsdes.intel.com/resource/14013114769","14013114769")</f>
        <v>14013114769</v>
      </c>
      <c r="B6" t="s">
        <v>20</v>
      </c>
      <c r="C6" t="s">
        <v>21</v>
      </c>
      <c r="D6" t="s">
        <v>22</v>
      </c>
      <c r="E6" t="s">
        <v>18</v>
      </c>
      <c r="F6" t="s">
        <v>23</v>
      </c>
    </row>
    <row r="7" spans="1:6" x14ac:dyDescent="0.3">
      <c r="A7" t="str">
        <f>HYPERLINK("https://hsdes.intel.com/resource/14013114813","14013114813")</f>
        <v>14013114813</v>
      </c>
      <c r="B7" t="s">
        <v>24</v>
      </c>
      <c r="C7" t="s">
        <v>25</v>
      </c>
      <c r="D7" t="s">
        <v>22</v>
      </c>
      <c r="E7" t="s">
        <v>18</v>
      </c>
      <c r="F7" t="s">
        <v>26</v>
      </c>
    </row>
    <row r="8" spans="1:6" x14ac:dyDescent="0.3">
      <c r="A8" t="str">
        <f>HYPERLINK("https://hsdes.intel.com/resource/14013114842","14013114842")</f>
        <v>14013114842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</row>
    <row r="9" spans="1:6" x14ac:dyDescent="0.3">
      <c r="A9" t="str">
        <f>HYPERLINK("https://hsdes.intel.com/resource/14013114861","14013114861")</f>
        <v>14013114861</v>
      </c>
      <c r="B9" t="s">
        <v>32</v>
      </c>
      <c r="C9" t="s">
        <v>33</v>
      </c>
      <c r="D9" t="s">
        <v>22</v>
      </c>
      <c r="E9" t="s">
        <v>18</v>
      </c>
      <c r="F9" t="s">
        <v>23</v>
      </c>
    </row>
    <row r="10" spans="1:6" x14ac:dyDescent="0.3">
      <c r="A10" t="str">
        <f>HYPERLINK("https://hsdes.intel.com/resource/14013114878","14013114878")</f>
        <v>14013114878</v>
      </c>
      <c r="B10" t="s">
        <v>34</v>
      </c>
      <c r="C10" t="s">
        <v>35</v>
      </c>
      <c r="D10" t="s">
        <v>17</v>
      </c>
      <c r="E10" t="s">
        <v>18</v>
      </c>
      <c r="F10" t="s">
        <v>36</v>
      </c>
    </row>
    <row r="11" spans="1:6" x14ac:dyDescent="0.3">
      <c r="A11" t="str">
        <f>HYPERLINK("https://hsdes.intel.com/resource/14013114906","14013114906")</f>
        <v>14013114906</v>
      </c>
      <c r="B11" t="s">
        <v>37</v>
      </c>
      <c r="C11" t="s">
        <v>38</v>
      </c>
      <c r="D11" t="s">
        <v>6</v>
      </c>
      <c r="E11" t="s">
        <v>7</v>
      </c>
      <c r="F11" t="s">
        <v>39</v>
      </c>
    </row>
    <row r="12" spans="1:6" x14ac:dyDescent="0.3">
      <c r="A12" t="str">
        <f>HYPERLINK("https://hsdes.intel.com/resource/14013115234","14013115234")</f>
        <v>14013115234</v>
      </c>
      <c r="B12" t="s">
        <v>40</v>
      </c>
      <c r="C12" t="s">
        <v>41</v>
      </c>
      <c r="D12" t="s">
        <v>29</v>
      </c>
      <c r="E12" t="s">
        <v>30</v>
      </c>
      <c r="F12" t="s">
        <v>42</v>
      </c>
    </row>
    <row r="13" spans="1:6" x14ac:dyDescent="0.3">
      <c r="A13" t="str">
        <f>HYPERLINK("https://hsdes.intel.com/resource/14013115314","14013115314")</f>
        <v>14013115314</v>
      </c>
      <c r="B13" t="s">
        <v>43</v>
      </c>
      <c r="C13" t="s">
        <v>44</v>
      </c>
      <c r="D13" t="s">
        <v>22</v>
      </c>
      <c r="E13" t="s">
        <v>30</v>
      </c>
      <c r="F13" t="s">
        <v>45</v>
      </c>
    </row>
    <row r="14" spans="1:6" x14ac:dyDescent="0.3">
      <c r="A14" t="str">
        <f>HYPERLINK("https://hsdes.intel.com/resource/14013115327","14013115327")</f>
        <v>14013115327</v>
      </c>
      <c r="B14" t="s">
        <v>46</v>
      </c>
      <c r="C14" t="s">
        <v>47</v>
      </c>
      <c r="D14" t="s">
        <v>17</v>
      </c>
      <c r="E14" t="s">
        <v>18</v>
      </c>
      <c r="F14" t="s">
        <v>19</v>
      </c>
    </row>
    <row r="15" spans="1:6" x14ac:dyDescent="0.3">
      <c r="A15" t="str">
        <f>HYPERLINK("https://hsdes.intel.com/resource/14013115427","14013115427")</f>
        <v>14013115427</v>
      </c>
      <c r="B15" t="s">
        <v>48</v>
      </c>
      <c r="C15" t="s">
        <v>49</v>
      </c>
      <c r="D15" t="s">
        <v>29</v>
      </c>
      <c r="E15" t="s">
        <v>30</v>
      </c>
      <c r="F15" t="s">
        <v>50</v>
      </c>
    </row>
    <row r="16" spans="1:6" x14ac:dyDescent="0.3">
      <c r="A16" t="str">
        <f>HYPERLINK("https://hsdes.intel.com/resource/14013115566","14013115566")</f>
        <v>14013115566</v>
      </c>
      <c r="B16" t="s">
        <v>51</v>
      </c>
      <c r="C16" t="s">
        <v>52</v>
      </c>
      <c r="D16" t="s">
        <v>29</v>
      </c>
      <c r="E16" t="s">
        <v>30</v>
      </c>
      <c r="F16" t="s">
        <v>53</v>
      </c>
    </row>
    <row r="17" spans="1:6" x14ac:dyDescent="0.3">
      <c r="A17" t="str">
        <f>HYPERLINK("https://hsdes.intel.com/resource/14013116396","14013116396")</f>
        <v>14013116396</v>
      </c>
      <c r="B17" t="s">
        <v>54</v>
      </c>
      <c r="C17" t="s">
        <v>55</v>
      </c>
      <c r="D17" t="s">
        <v>29</v>
      </c>
      <c r="E17" t="s">
        <v>30</v>
      </c>
      <c r="F17" t="s">
        <v>56</v>
      </c>
    </row>
    <row r="18" spans="1:6" x14ac:dyDescent="0.3">
      <c r="A18" t="str">
        <f>HYPERLINK("https://hsdes.intel.com/resource/14013116828","14013116828")</f>
        <v>14013116828</v>
      </c>
      <c r="B18" t="s">
        <v>57</v>
      </c>
      <c r="C18" t="s">
        <v>58</v>
      </c>
      <c r="D18" t="s">
        <v>29</v>
      </c>
      <c r="E18" t="s">
        <v>30</v>
      </c>
      <c r="F18" t="s">
        <v>59</v>
      </c>
    </row>
    <row r="19" spans="1:6" x14ac:dyDescent="0.3">
      <c r="A19" t="str">
        <f>HYPERLINK("https://hsdes.intel.com/resource/14013117056","14013117056")</f>
        <v>14013117056</v>
      </c>
      <c r="B19" t="s">
        <v>60</v>
      </c>
      <c r="C19" t="s">
        <v>61</v>
      </c>
      <c r="D19" t="s">
        <v>62</v>
      </c>
      <c r="E19" t="s">
        <v>63</v>
      </c>
      <c r="F19" t="s">
        <v>64</v>
      </c>
    </row>
    <row r="20" spans="1:6" x14ac:dyDescent="0.3">
      <c r="A20" t="str">
        <f>HYPERLINK("https://hsdes.intel.com/resource/14013117134","14013117134")</f>
        <v>14013117134</v>
      </c>
      <c r="B20" t="s">
        <v>65</v>
      </c>
      <c r="C20" t="s">
        <v>66</v>
      </c>
      <c r="D20" t="s">
        <v>67</v>
      </c>
      <c r="E20" t="s">
        <v>63</v>
      </c>
      <c r="F20" t="s">
        <v>68</v>
      </c>
    </row>
    <row r="21" spans="1:6" x14ac:dyDescent="0.3">
      <c r="A21" t="str">
        <f>HYPERLINK("https://hsdes.intel.com/resource/14013117177","14013117177")</f>
        <v>14013117177</v>
      </c>
      <c r="B21" t="s">
        <v>69</v>
      </c>
      <c r="C21" t="s">
        <v>70</v>
      </c>
      <c r="D21" t="s">
        <v>22</v>
      </c>
      <c r="E21" t="s">
        <v>63</v>
      </c>
      <c r="F21" t="s">
        <v>71</v>
      </c>
    </row>
    <row r="22" spans="1:6" x14ac:dyDescent="0.3">
      <c r="A22" t="str">
        <f>HYPERLINK("https://hsdes.intel.com/resource/14013117217","14013117217")</f>
        <v>14013117217</v>
      </c>
      <c r="B22" t="s">
        <v>72</v>
      </c>
      <c r="C22" t="s">
        <v>73</v>
      </c>
      <c r="D22" t="s">
        <v>29</v>
      </c>
      <c r="E22" t="s">
        <v>30</v>
      </c>
      <c r="F22" t="s">
        <v>74</v>
      </c>
    </row>
    <row r="23" spans="1:6" x14ac:dyDescent="0.3">
      <c r="A23" t="str">
        <f>HYPERLINK("https://hsdes.intel.com/resource/14013117280","14013117280")</f>
        <v>14013117280</v>
      </c>
      <c r="B23" t="s">
        <v>75</v>
      </c>
      <c r="C23" t="s">
        <v>76</v>
      </c>
      <c r="D23" t="s">
        <v>67</v>
      </c>
      <c r="E23" t="s">
        <v>63</v>
      </c>
      <c r="F23" t="s">
        <v>77</v>
      </c>
    </row>
    <row r="24" spans="1:6" x14ac:dyDescent="0.3">
      <c r="A24" t="str">
        <f>HYPERLINK("https://hsdes.intel.com/resource/14013117320","14013117320")</f>
        <v>14013117320</v>
      </c>
      <c r="B24" t="s">
        <v>78</v>
      </c>
      <c r="C24" t="s">
        <v>79</v>
      </c>
      <c r="D24" t="s">
        <v>22</v>
      </c>
      <c r="E24" t="s">
        <v>80</v>
      </c>
      <c r="F24" t="s">
        <v>81</v>
      </c>
    </row>
    <row r="25" spans="1:6" x14ac:dyDescent="0.3">
      <c r="A25" t="str">
        <f>HYPERLINK("https://hsdes.intel.com/resource/14013117361","14013117361")</f>
        <v>14013117361</v>
      </c>
      <c r="B25" t="s">
        <v>82</v>
      </c>
      <c r="C25" t="s">
        <v>83</v>
      </c>
      <c r="D25" t="s">
        <v>29</v>
      </c>
      <c r="E25" t="s">
        <v>30</v>
      </c>
      <c r="F25" t="s">
        <v>50</v>
      </c>
    </row>
    <row r="26" spans="1:6" x14ac:dyDescent="0.3">
      <c r="A26" t="str">
        <f>HYPERLINK("https://hsdes.intel.com/resource/14013118179","14013118179")</f>
        <v>14013118179</v>
      </c>
      <c r="B26" t="s">
        <v>84</v>
      </c>
      <c r="C26" t="s">
        <v>85</v>
      </c>
      <c r="D26" t="s">
        <v>22</v>
      </c>
      <c r="E26" t="s">
        <v>80</v>
      </c>
      <c r="F26" t="s">
        <v>86</v>
      </c>
    </row>
    <row r="27" spans="1:6" x14ac:dyDescent="0.3">
      <c r="A27" t="str">
        <f>HYPERLINK("https://hsdes.intel.com/resource/14013118472","14013118472")</f>
        <v>14013118472</v>
      </c>
      <c r="B27" t="s">
        <v>87</v>
      </c>
      <c r="C27" t="s">
        <v>88</v>
      </c>
      <c r="D27" t="s">
        <v>17</v>
      </c>
      <c r="E27" t="s">
        <v>89</v>
      </c>
      <c r="F27" t="s">
        <v>90</v>
      </c>
    </row>
    <row r="28" spans="1:6" x14ac:dyDescent="0.3">
      <c r="A28" t="str">
        <f>HYPERLINK("https://hsdes.intel.com/resource/14013118496","14013118496")</f>
        <v>14013118496</v>
      </c>
      <c r="B28" t="s">
        <v>91</v>
      </c>
      <c r="C28" t="s">
        <v>92</v>
      </c>
      <c r="D28" t="s">
        <v>17</v>
      </c>
      <c r="E28" t="s">
        <v>30</v>
      </c>
      <c r="F28" t="s">
        <v>93</v>
      </c>
    </row>
    <row r="29" spans="1:6" x14ac:dyDescent="0.3">
      <c r="A29" t="str">
        <f>HYPERLINK("https://hsdes.intel.com/resource/14013118541","14013118541")</f>
        <v>14013118541</v>
      </c>
      <c r="B29" t="s">
        <v>94</v>
      </c>
      <c r="C29" t="s">
        <v>95</v>
      </c>
      <c r="D29" t="s">
        <v>17</v>
      </c>
      <c r="E29" t="s">
        <v>30</v>
      </c>
      <c r="F29" t="s">
        <v>19</v>
      </c>
    </row>
    <row r="30" spans="1:6" x14ac:dyDescent="0.3">
      <c r="A30" t="str">
        <f>HYPERLINK("https://hsdes.intel.com/resource/14013118672","14013118672")</f>
        <v>14013118672</v>
      </c>
      <c r="B30" t="s">
        <v>96</v>
      </c>
      <c r="C30" t="s">
        <v>97</v>
      </c>
      <c r="D30" t="s">
        <v>98</v>
      </c>
      <c r="E30" t="s">
        <v>18</v>
      </c>
      <c r="F30" t="s">
        <v>99</v>
      </c>
    </row>
    <row r="31" spans="1:6" x14ac:dyDescent="0.3">
      <c r="A31" t="str">
        <f>HYPERLINK("https://hsdes.intel.com/resource/14013118721","14013118721")</f>
        <v>14013118721</v>
      </c>
      <c r="B31" t="s">
        <v>100</v>
      </c>
      <c r="C31" t="s">
        <v>101</v>
      </c>
      <c r="D31" t="s">
        <v>17</v>
      </c>
      <c r="E31" t="s">
        <v>30</v>
      </c>
      <c r="F31" t="s">
        <v>102</v>
      </c>
    </row>
    <row r="32" spans="1:6" x14ac:dyDescent="0.3">
      <c r="A32" t="str">
        <f>HYPERLINK("https://hsdes.intel.com/resource/14013118785","14013118785")</f>
        <v>14013118785</v>
      </c>
      <c r="B32" t="s">
        <v>103</v>
      </c>
      <c r="C32" t="s">
        <v>104</v>
      </c>
      <c r="D32" t="s">
        <v>17</v>
      </c>
      <c r="E32" t="s">
        <v>30</v>
      </c>
      <c r="F32" t="s">
        <v>105</v>
      </c>
    </row>
    <row r="33" spans="1:6" x14ac:dyDescent="0.3">
      <c r="A33" t="str">
        <f>HYPERLINK("https://hsdes.intel.com/resource/14013118908","14013118908")</f>
        <v>14013118908</v>
      </c>
      <c r="B33" t="s">
        <v>106</v>
      </c>
      <c r="C33" t="s">
        <v>107</v>
      </c>
      <c r="D33" t="s">
        <v>17</v>
      </c>
      <c r="E33" t="s">
        <v>30</v>
      </c>
      <c r="F33" t="s">
        <v>108</v>
      </c>
    </row>
    <row r="34" spans="1:6" x14ac:dyDescent="0.3">
      <c r="A34" t="str">
        <f>HYPERLINK("https://hsdes.intel.com/resource/14013118973","14013118973")</f>
        <v>14013118973</v>
      </c>
      <c r="B34" t="s">
        <v>109</v>
      </c>
      <c r="C34" t="s">
        <v>110</v>
      </c>
      <c r="D34" t="s">
        <v>17</v>
      </c>
      <c r="E34" t="s">
        <v>30</v>
      </c>
      <c r="F34" t="s">
        <v>111</v>
      </c>
    </row>
    <row r="35" spans="1:6" x14ac:dyDescent="0.3">
      <c r="A35" t="str">
        <f>HYPERLINK("https://hsdes.intel.com/resource/14013119085","14013119085")</f>
        <v>14013119085</v>
      </c>
      <c r="B35" t="s">
        <v>112</v>
      </c>
      <c r="C35" t="s">
        <v>113</v>
      </c>
      <c r="D35" t="s">
        <v>22</v>
      </c>
      <c r="E35" t="s">
        <v>114</v>
      </c>
      <c r="F35" t="s">
        <v>115</v>
      </c>
    </row>
    <row r="36" spans="1:6" x14ac:dyDescent="0.3">
      <c r="A36" t="str">
        <f>HYPERLINK("https://hsdes.intel.com/resource/14013119145","14013119145")</f>
        <v>14013119145</v>
      </c>
      <c r="B36" t="s">
        <v>116</v>
      </c>
      <c r="C36" t="s">
        <v>117</v>
      </c>
      <c r="D36" t="s">
        <v>6</v>
      </c>
      <c r="E36" t="s">
        <v>63</v>
      </c>
      <c r="F36" t="s">
        <v>118</v>
      </c>
    </row>
    <row r="37" spans="1:6" x14ac:dyDescent="0.3">
      <c r="A37" t="str">
        <f>HYPERLINK("https://hsdes.intel.com/resource/14013119169","14013119169")</f>
        <v>14013119169</v>
      </c>
      <c r="B37" t="s">
        <v>119</v>
      </c>
      <c r="C37" t="s">
        <v>120</v>
      </c>
      <c r="D37" t="s">
        <v>22</v>
      </c>
      <c r="E37" t="s">
        <v>30</v>
      </c>
      <c r="F37" t="s">
        <v>121</v>
      </c>
    </row>
    <row r="38" spans="1:6" x14ac:dyDescent="0.3">
      <c r="A38" t="str">
        <f>HYPERLINK("https://hsdes.intel.com/resource/14013119215","14013119215")</f>
        <v>14013119215</v>
      </c>
      <c r="B38" t="s">
        <v>122</v>
      </c>
      <c r="C38" t="s">
        <v>123</v>
      </c>
      <c r="D38" t="s">
        <v>29</v>
      </c>
      <c r="E38" t="s">
        <v>63</v>
      </c>
      <c r="F38" t="s">
        <v>124</v>
      </c>
    </row>
    <row r="39" spans="1:6" x14ac:dyDescent="0.3">
      <c r="A39" t="str">
        <f>HYPERLINK("https://hsdes.intel.com/resource/14013119238","14013119238")</f>
        <v>14013119238</v>
      </c>
      <c r="B39" t="s">
        <v>125</v>
      </c>
      <c r="C39" t="s">
        <v>126</v>
      </c>
      <c r="D39" t="s">
        <v>17</v>
      </c>
      <c r="E39" t="s">
        <v>30</v>
      </c>
      <c r="F39" t="s">
        <v>127</v>
      </c>
    </row>
    <row r="40" spans="1:6" x14ac:dyDescent="0.3">
      <c r="A40" t="str">
        <f>HYPERLINK("https://hsdes.intel.com/resource/14013119299","14013119299")</f>
        <v>14013119299</v>
      </c>
      <c r="B40" t="s">
        <v>128</v>
      </c>
      <c r="C40" t="s">
        <v>129</v>
      </c>
      <c r="D40" t="s">
        <v>62</v>
      </c>
      <c r="E40" t="s">
        <v>30</v>
      </c>
      <c r="F40" t="s">
        <v>130</v>
      </c>
    </row>
    <row r="41" spans="1:6" x14ac:dyDescent="0.3">
      <c r="A41" t="str">
        <f>HYPERLINK("https://hsdes.intel.com/resource/14013119389","14013119389")</f>
        <v>14013119389</v>
      </c>
      <c r="B41" t="s">
        <v>131</v>
      </c>
      <c r="C41" t="s">
        <v>132</v>
      </c>
      <c r="D41" t="s">
        <v>62</v>
      </c>
      <c r="E41" t="s">
        <v>18</v>
      </c>
      <c r="F41" t="s">
        <v>133</v>
      </c>
    </row>
    <row r="42" spans="1:6" x14ac:dyDescent="0.3">
      <c r="A42" t="str">
        <f>HYPERLINK("https://hsdes.intel.com/resource/14013119442","14013119442")</f>
        <v>14013119442</v>
      </c>
      <c r="B42" t="s">
        <v>134</v>
      </c>
      <c r="C42" t="s">
        <v>135</v>
      </c>
      <c r="D42" t="s">
        <v>29</v>
      </c>
      <c r="E42" t="s">
        <v>30</v>
      </c>
      <c r="F42" t="s">
        <v>136</v>
      </c>
    </row>
    <row r="43" spans="1:6" x14ac:dyDescent="0.3">
      <c r="A43" t="str">
        <f>HYPERLINK("https://hsdes.intel.com/resource/14013119607","14013119607")</f>
        <v>14013119607</v>
      </c>
      <c r="B43" t="s">
        <v>137</v>
      </c>
      <c r="C43" t="s">
        <v>138</v>
      </c>
      <c r="D43" t="s">
        <v>22</v>
      </c>
      <c r="E43" t="s">
        <v>18</v>
      </c>
      <c r="F43" t="s">
        <v>139</v>
      </c>
    </row>
    <row r="44" spans="1:6" x14ac:dyDescent="0.3">
      <c r="A44" t="str">
        <f>HYPERLINK("https://hsdes.intel.com/resource/14013119634","14013119634")</f>
        <v>14013119634</v>
      </c>
      <c r="B44" t="s">
        <v>140</v>
      </c>
      <c r="C44" t="s">
        <v>141</v>
      </c>
      <c r="D44" t="s">
        <v>142</v>
      </c>
      <c r="E44" t="s">
        <v>63</v>
      </c>
      <c r="F44" t="s">
        <v>143</v>
      </c>
    </row>
    <row r="45" spans="1:6" x14ac:dyDescent="0.3">
      <c r="A45" t="str">
        <f>HYPERLINK("https://hsdes.intel.com/resource/14013119649","14013119649")</f>
        <v>14013119649</v>
      </c>
      <c r="B45" t="s">
        <v>144</v>
      </c>
      <c r="C45" t="s">
        <v>145</v>
      </c>
      <c r="D45" t="s">
        <v>22</v>
      </c>
      <c r="E45" t="s">
        <v>30</v>
      </c>
      <c r="F45" t="s">
        <v>146</v>
      </c>
    </row>
    <row r="46" spans="1:6" x14ac:dyDescent="0.3">
      <c r="A46" t="str">
        <f>HYPERLINK("https://hsdes.intel.com/resource/14013120050","14013120050")</f>
        <v>14013120050</v>
      </c>
      <c r="B46" t="s">
        <v>147</v>
      </c>
      <c r="C46" t="s">
        <v>148</v>
      </c>
      <c r="D46" t="s">
        <v>22</v>
      </c>
      <c r="E46" t="s">
        <v>30</v>
      </c>
      <c r="F46" t="s">
        <v>149</v>
      </c>
    </row>
    <row r="47" spans="1:6" x14ac:dyDescent="0.3">
      <c r="A47" t="str">
        <f>HYPERLINK("https://hsdes.intel.com/resource/14013120106","14013120106")</f>
        <v>14013120106</v>
      </c>
      <c r="B47" t="s">
        <v>150</v>
      </c>
      <c r="C47" t="s">
        <v>151</v>
      </c>
      <c r="D47" t="s">
        <v>62</v>
      </c>
      <c r="E47" t="s">
        <v>63</v>
      </c>
      <c r="F47" t="s">
        <v>152</v>
      </c>
    </row>
    <row r="48" spans="1:6" x14ac:dyDescent="0.3">
      <c r="A48" t="str">
        <f>HYPERLINK("https://hsdes.intel.com/resource/14013120118","14013120118")</f>
        <v>14013120118</v>
      </c>
      <c r="B48" t="s">
        <v>153</v>
      </c>
      <c r="C48" t="s">
        <v>154</v>
      </c>
      <c r="D48" t="s">
        <v>62</v>
      </c>
      <c r="E48" t="s">
        <v>63</v>
      </c>
      <c r="F48" t="s">
        <v>99</v>
      </c>
    </row>
    <row r="49" spans="1:6" x14ac:dyDescent="0.3">
      <c r="A49" t="str">
        <f>HYPERLINK("https://hsdes.intel.com/resource/14013120134","14013120134")</f>
        <v>14013120134</v>
      </c>
      <c r="B49" t="s">
        <v>155</v>
      </c>
      <c r="C49" t="s">
        <v>156</v>
      </c>
      <c r="D49" t="s">
        <v>17</v>
      </c>
      <c r="E49" t="s">
        <v>30</v>
      </c>
      <c r="F49" t="s">
        <v>157</v>
      </c>
    </row>
    <row r="50" spans="1:6" x14ac:dyDescent="0.3">
      <c r="A50" t="str">
        <f>HYPERLINK("https://hsdes.intel.com/resource/14013120372","14013120372")</f>
        <v>14013120372</v>
      </c>
      <c r="B50" t="s">
        <v>158</v>
      </c>
      <c r="C50" t="s">
        <v>159</v>
      </c>
      <c r="D50" t="s">
        <v>17</v>
      </c>
      <c r="E50" t="s">
        <v>30</v>
      </c>
      <c r="F50" t="s">
        <v>160</v>
      </c>
    </row>
    <row r="51" spans="1:6" x14ac:dyDescent="0.3">
      <c r="A51" t="str">
        <f>HYPERLINK("https://hsdes.intel.com/resource/14013120386","14013120386")</f>
        <v>14013120386</v>
      </c>
      <c r="B51" t="s">
        <v>161</v>
      </c>
      <c r="C51" t="s">
        <v>162</v>
      </c>
      <c r="D51" t="s">
        <v>22</v>
      </c>
      <c r="E51" t="s">
        <v>80</v>
      </c>
      <c r="F51" t="s">
        <v>163</v>
      </c>
    </row>
    <row r="52" spans="1:6" x14ac:dyDescent="0.3">
      <c r="A52" t="str">
        <f>HYPERLINK("https://hsdes.intel.com/resource/14013120401","14013120401")</f>
        <v>14013120401</v>
      </c>
      <c r="B52" t="s">
        <v>164</v>
      </c>
      <c r="C52" t="s">
        <v>165</v>
      </c>
      <c r="D52" t="s">
        <v>98</v>
      </c>
      <c r="E52" t="s">
        <v>80</v>
      </c>
      <c r="F52" t="s">
        <v>166</v>
      </c>
    </row>
    <row r="53" spans="1:6" x14ac:dyDescent="0.3">
      <c r="A53" t="str">
        <f>HYPERLINK("https://hsdes.intel.com/resource/14013120427","14013120427")</f>
        <v>14013120427</v>
      </c>
      <c r="B53" t="s">
        <v>167</v>
      </c>
      <c r="C53" t="s">
        <v>168</v>
      </c>
      <c r="D53" t="s">
        <v>22</v>
      </c>
      <c r="E53" t="s">
        <v>80</v>
      </c>
      <c r="F53" t="s">
        <v>169</v>
      </c>
    </row>
    <row r="54" spans="1:6" x14ac:dyDescent="0.3">
      <c r="A54" t="str">
        <f>HYPERLINK("https://hsdes.intel.com/resource/14013120472","14013120472")</f>
        <v>14013120472</v>
      </c>
      <c r="B54" t="s">
        <v>170</v>
      </c>
      <c r="C54" t="s">
        <v>171</v>
      </c>
      <c r="D54" t="s">
        <v>62</v>
      </c>
      <c r="E54" t="s">
        <v>172</v>
      </c>
      <c r="F54" t="s">
        <v>173</v>
      </c>
    </row>
    <row r="55" spans="1:6" x14ac:dyDescent="0.3">
      <c r="A55" t="str">
        <f>HYPERLINK("https://hsdes.intel.com/resource/14013120520","14013120520")</f>
        <v>14013120520</v>
      </c>
      <c r="B55" t="s">
        <v>174</v>
      </c>
      <c r="C55" t="s">
        <v>175</v>
      </c>
      <c r="D55" t="s">
        <v>17</v>
      </c>
      <c r="E55" t="s">
        <v>30</v>
      </c>
      <c r="F55" t="s">
        <v>176</v>
      </c>
    </row>
    <row r="56" spans="1:6" x14ac:dyDescent="0.3">
      <c r="A56" t="str">
        <f>HYPERLINK("https://hsdes.intel.com/resource/14013120607","14013120607")</f>
        <v>14013120607</v>
      </c>
      <c r="B56" t="s">
        <v>177</v>
      </c>
      <c r="C56" t="s">
        <v>178</v>
      </c>
      <c r="D56" t="s">
        <v>67</v>
      </c>
      <c r="E56" t="s">
        <v>179</v>
      </c>
      <c r="F56" t="s">
        <v>180</v>
      </c>
    </row>
    <row r="57" spans="1:6" x14ac:dyDescent="0.3">
      <c r="A57" t="str">
        <f>HYPERLINK("https://hsdes.intel.com/resource/14013120738","14013120738")</f>
        <v>14013120738</v>
      </c>
      <c r="B57" t="s">
        <v>181</v>
      </c>
      <c r="C57" t="s">
        <v>182</v>
      </c>
      <c r="D57" t="s">
        <v>67</v>
      </c>
      <c r="E57" t="s">
        <v>179</v>
      </c>
      <c r="F57" t="s">
        <v>183</v>
      </c>
    </row>
    <row r="58" spans="1:6" x14ac:dyDescent="0.3">
      <c r="A58" t="str">
        <f>HYPERLINK("https://hsdes.intel.com/resource/14013120864","14013120864")</f>
        <v>14013120864</v>
      </c>
      <c r="B58" t="s">
        <v>184</v>
      </c>
      <c r="C58" t="s">
        <v>185</v>
      </c>
      <c r="D58" t="s">
        <v>67</v>
      </c>
      <c r="E58" t="s">
        <v>179</v>
      </c>
      <c r="F58" t="s">
        <v>186</v>
      </c>
    </row>
    <row r="59" spans="1:6" x14ac:dyDescent="0.3">
      <c r="A59" t="str">
        <f>HYPERLINK("https://hsdes.intel.com/resource/14013120896","14013120896")</f>
        <v>14013120896</v>
      </c>
      <c r="B59" t="s">
        <v>187</v>
      </c>
      <c r="C59" t="s">
        <v>188</v>
      </c>
      <c r="D59" t="s">
        <v>22</v>
      </c>
      <c r="E59" t="s">
        <v>18</v>
      </c>
      <c r="F59" t="s">
        <v>189</v>
      </c>
    </row>
    <row r="60" spans="1:6" x14ac:dyDescent="0.3">
      <c r="A60" t="str">
        <f>HYPERLINK("https://hsdes.intel.com/resource/14013120901","14013120901")</f>
        <v>14013120901</v>
      </c>
      <c r="B60" t="s">
        <v>190</v>
      </c>
      <c r="C60" t="s">
        <v>191</v>
      </c>
      <c r="D60" t="s">
        <v>22</v>
      </c>
      <c r="E60" t="s">
        <v>18</v>
      </c>
      <c r="F60" t="s">
        <v>192</v>
      </c>
    </row>
    <row r="61" spans="1:6" x14ac:dyDescent="0.3">
      <c r="A61" t="str">
        <f>HYPERLINK("https://hsdes.intel.com/resource/14013120907","14013120907")</f>
        <v>14013120907</v>
      </c>
      <c r="B61" t="s">
        <v>193</v>
      </c>
      <c r="C61" t="s">
        <v>194</v>
      </c>
      <c r="D61" t="s">
        <v>22</v>
      </c>
      <c r="E61" t="s">
        <v>18</v>
      </c>
      <c r="F61" t="s">
        <v>195</v>
      </c>
    </row>
    <row r="62" spans="1:6" x14ac:dyDescent="0.3">
      <c r="A62" t="str">
        <f>HYPERLINK("https://hsdes.intel.com/resource/14013120914","14013120914")</f>
        <v>14013120914</v>
      </c>
      <c r="B62" t="s">
        <v>196</v>
      </c>
      <c r="C62" t="s">
        <v>197</v>
      </c>
      <c r="D62" t="s">
        <v>22</v>
      </c>
      <c r="E62" t="s">
        <v>18</v>
      </c>
      <c r="F62" t="s">
        <v>26</v>
      </c>
    </row>
    <row r="63" spans="1:6" x14ac:dyDescent="0.3">
      <c r="A63" t="str">
        <f>HYPERLINK("https://hsdes.intel.com/resource/14013120930","14013120930")</f>
        <v>14013120930</v>
      </c>
      <c r="B63" t="s">
        <v>198</v>
      </c>
      <c r="C63" t="s">
        <v>199</v>
      </c>
      <c r="D63" t="s">
        <v>17</v>
      </c>
      <c r="E63" t="s">
        <v>18</v>
      </c>
      <c r="F63" t="s">
        <v>200</v>
      </c>
    </row>
    <row r="64" spans="1:6" x14ac:dyDescent="0.3">
      <c r="A64" t="str">
        <f>HYPERLINK("https://hsdes.intel.com/resource/14013121015","14013121015")</f>
        <v>14013121015</v>
      </c>
      <c r="B64" t="s">
        <v>201</v>
      </c>
      <c r="C64" t="s">
        <v>202</v>
      </c>
      <c r="D64" t="s">
        <v>22</v>
      </c>
      <c r="E64" t="s">
        <v>203</v>
      </c>
      <c r="F64" t="s">
        <v>204</v>
      </c>
    </row>
    <row r="65" spans="1:6" x14ac:dyDescent="0.3">
      <c r="A65" t="str">
        <f>HYPERLINK("https://hsdes.intel.com/resource/14013121204","14013121204")</f>
        <v>14013121204</v>
      </c>
      <c r="B65" t="s">
        <v>205</v>
      </c>
      <c r="C65" t="s">
        <v>206</v>
      </c>
      <c r="D65" t="s">
        <v>6</v>
      </c>
      <c r="E65" t="s">
        <v>7</v>
      </c>
      <c r="F65" t="s">
        <v>127</v>
      </c>
    </row>
    <row r="66" spans="1:6" x14ac:dyDescent="0.3">
      <c r="A66" t="str">
        <f>HYPERLINK("https://hsdes.intel.com/resource/14013121214","14013121214")</f>
        <v>14013121214</v>
      </c>
      <c r="B66" t="s">
        <v>207</v>
      </c>
      <c r="C66" t="s">
        <v>208</v>
      </c>
      <c r="D66" t="s">
        <v>6</v>
      </c>
      <c r="E66" t="s">
        <v>7</v>
      </c>
      <c r="F66" t="s">
        <v>209</v>
      </c>
    </row>
    <row r="67" spans="1:6" x14ac:dyDescent="0.3">
      <c r="A67" t="str">
        <f>HYPERLINK("https://hsdes.intel.com/resource/14013121224","14013121224")</f>
        <v>14013121224</v>
      </c>
      <c r="B67" t="s">
        <v>210</v>
      </c>
      <c r="C67" t="s">
        <v>211</v>
      </c>
      <c r="D67" t="s">
        <v>6</v>
      </c>
      <c r="E67" t="s">
        <v>212</v>
      </c>
      <c r="F67" t="s">
        <v>213</v>
      </c>
    </row>
    <row r="68" spans="1:6" x14ac:dyDescent="0.3">
      <c r="A68" t="str">
        <f>HYPERLINK("https://hsdes.intel.com/resource/14013121230","14013121230")</f>
        <v>14013121230</v>
      </c>
      <c r="B68" t="s">
        <v>214</v>
      </c>
      <c r="C68" t="s">
        <v>215</v>
      </c>
      <c r="D68" t="s">
        <v>6</v>
      </c>
      <c r="E68" t="s">
        <v>7</v>
      </c>
      <c r="F68" t="s">
        <v>216</v>
      </c>
    </row>
    <row r="69" spans="1:6" x14ac:dyDescent="0.3">
      <c r="A69" t="str">
        <f>HYPERLINK("https://hsdes.intel.com/resource/14013121241","14013121241")</f>
        <v>14013121241</v>
      </c>
      <c r="B69" t="s">
        <v>217</v>
      </c>
      <c r="C69" t="s">
        <v>218</v>
      </c>
      <c r="D69" t="s">
        <v>6</v>
      </c>
      <c r="E69" t="s">
        <v>7</v>
      </c>
      <c r="F69" t="s">
        <v>219</v>
      </c>
    </row>
    <row r="70" spans="1:6" x14ac:dyDescent="0.3">
      <c r="A70" t="str">
        <f>HYPERLINK("https://hsdes.intel.com/resource/14013121267","14013121267")</f>
        <v>14013121267</v>
      </c>
      <c r="B70" t="s">
        <v>220</v>
      </c>
      <c r="C70" t="s">
        <v>221</v>
      </c>
      <c r="D70" t="s">
        <v>6</v>
      </c>
      <c r="E70" t="s">
        <v>7</v>
      </c>
      <c r="F70" t="s">
        <v>222</v>
      </c>
    </row>
    <row r="71" spans="1:6" x14ac:dyDescent="0.3">
      <c r="A71" t="str">
        <f>HYPERLINK("https://hsdes.intel.com/resource/14013121275","14013121275")</f>
        <v>14013121275</v>
      </c>
      <c r="B71" t="s">
        <v>223</v>
      </c>
      <c r="C71" t="s">
        <v>224</v>
      </c>
      <c r="D71" t="s">
        <v>6</v>
      </c>
      <c r="E71" t="s">
        <v>7</v>
      </c>
      <c r="F71" t="s">
        <v>225</v>
      </c>
    </row>
    <row r="72" spans="1:6" x14ac:dyDescent="0.3">
      <c r="A72" t="str">
        <f>HYPERLINK("https://hsdes.intel.com/resource/14013121432","14013121432")</f>
        <v>14013121432</v>
      </c>
      <c r="B72" t="s">
        <v>226</v>
      </c>
      <c r="C72" t="s">
        <v>227</v>
      </c>
      <c r="D72" t="s">
        <v>6</v>
      </c>
      <c r="E72" t="s">
        <v>228</v>
      </c>
      <c r="F72" t="s">
        <v>229</v>
      </c>
    </row>
    <row r="73" spans="1:6" x14ac:dyDescent="0.3">
      <c r="A73" t="str">
        <f>HYPERLINK("https://hsdes.intel.com/resource/14013156690","14013156690")</f>
        <v>14013156690</v>
      </c>
      <c r="B73" t="s">
        <v>230</v>
      </c>
      <c r="C73" t="s">
        <v>231</v>
      </c>
      <c r="D73" t="s">
        <v>29</v>
      </c>
      <c r="E73" t="s">
        <v>232</v>
      </c>
      <c r="F73" t="s">
        <v>233</v>
      </c>
    </row>
    <row r="74" spans="1:6" x14ac:dyDescent="0.3">
      <c r="A74" t="str">
        <f>HYPERLINK("https://hsdes.intel.com/resource/14013156691","14013156691")</f>
        <v>14013156691</v>
      </c>
      <c r="B74" t="s">
        <v>234</v>
      </c>
      <c r="C74" t="s">
        <v>235</v>
      </c>
      <c r="D74" t="s">
        <v>29</v>
      </c>
      <c r="E74" t="s">
        <v>232</v>
      </c>
      <c r="F74" t="s">
        <v>236</v>
      </c>
    </row>
    <row r="75" spans="1:6" x14ac:dyDescent="0.3">
      <c r="A75" t="str">
        <f>HYPERLINK("https://hsdes.intel.com/resource/14013156695","14013156695")</f>
        <v>14013156695</v>
      </c>
      <c r="B75" t="s">
        <v>237</v>
      </c>
      <c r="C75" t="s">
        <v>238</v>
      </c>
      <c r="D75" t="s">
        <v>29</v>
      </c>
      <c r="E75" t="s">
        <v>232</v>
      </c>
      <c r="F75" t="s">
        <v>239</v>
      </c>
    </row>
    <row r="76" spans="1:6" x14ac:dyDescent="0.3">
      <c r="A76" t="str">
        <f>HYPERLINK("https://hsdes.intel.com/resource/14013156700","14013156700")</f>
        <v>14013156700</v>
      </c>
      <c r="B76" t="s">
        <v>240</v>
      </c>
      <c r="C76" t="s">
        <v>241</v>
      </c>
      <c r="D76" t="s">
        <v>29</v>
      </c>
      <c r="E76" t="s">
        <v>232</v>
      </c>
      <c r="F76" t="s">
        <v>236</v>
      </c>
    </row>
    <row r="77" spans="1:6" x14ac:dyDescent="0.3">
      <c r="A77" t="str">
        <f>HYPERLINK("https://hsdes.intel.com/resource/14013156701","14013156701")</f>
        <v>14013156701</v>
      </c>
      <c r="B77" t="s">
        <v>242</v>
      </c>
      <c r="C77" t="s">
        <v>243</v>
      </c>
      <c r="D77" t="s">
        <v>29</v>
      </c>
      <c r="E77" t="s">
        <v>232</v>
      </c>
      <c r="F77" t="s">
        <v>239</v>
      </c>
    </row>
    <row r="78" spans="1:6" x14ac:dyDescent="0.3">
      <c r="A78" t="str">
        <f>HYPERLINK("https://hsdes.intel.com/resource/14013156703","14013156703")</f>
        <v>14013156703</v>
      </c>
      <c r="B78" t="s">
        <v>244</v>
      </c>
      <c r="C78" t="s">
        <v>245</v>
      </c>
      <c r="D78" t="s">
        <v>29</v>
      </c>
      <c r="E78" t="s">
        <v>246</v>
      </c>
      <c r="F78" t="s">
        <v>247</v>
      </c>
    </row>
    <row r="79" spans="1:6" x14ac:dyDescent="0.3">
      <c r="A79" t="str">
        <f>HYPERLINK("https://hsdes.intel.com/resource/14013156704","14013156704")</f>
        <v>14013156704</v>
      </c>
      <c r="B79" t="s">
        <v>248</v>
      </c>
      <c r="C79" t="s">
        <v>249</v>
      </c>
      <c r="D79" t="s">
        <v>29</v>
      </c>
      <c r="E79" t="s">
        <v>232</v>
      </c>
      <c r="F79" t="s">
        <v>239</v>
      </c>
    </row>
    <row r="80" spans="1:6" x14ac:dyDescent="0.3">
      <c r="A80" t="str">
        <f>HYPERLINK("https://hsdes.intel.com/resource/14013156715","14013156715")</f>
        <v>14013156715</v>
      </c>
      <c r="B80" t="s">
        <v>250</v>
      </c>
      <c r="C80" t="s">
        <v>251</v>
      </c>
      <c r="D80" t="s">
        <v>29</v>
      </c>
      <c r="E80" t="s">
        <v>232</v>
      </c>
      <c r="F80" t="s">
        <v>239</v>
      </c>
    </row>
    <row r="81" spans="1:6" x14ac:dyDescent="0.3">
      <c r="A81" t="str">
        <f>HYPERLINK("https://hsdes.intel.com/resource/14013156719","14013156719")</f>
        <v>14013156719</v>
      </c>
      <c r="B81" t="s">
        <v>252</v>
      </c>
      <c r="C81" t="s">
        <v>253</v>
      </c>
      <c r="D81" t="s">
        <v>29</v>
      </c>
      <c r="E81" t="s">
        <v>246</v>
      </c>
      <c r="F81" t="s">
        <v>254</v>
      </c>
    </row>
    <row r="82" spans="1:6" x14ac:dyDescent="0.3">
      <c r="A82" t="str">
        <f>HYPERLINK("https://hsdes.intel.com/resource/14013156721","14013156721")</f>
        <v>14013156721</v>
      </c>
      <c r="B82" t="s">
        <v>255</v>
      </c>
      <c r="C82" t="s">
        <v>256</v>
      </c>
      <c r="D82" t="s">
        <v>29</v>
      </c>
      <c r="E82" t="s">
        <v>232</v>
      </c>
      <c r="F82" t="s">
        <v>239</v>
      </c>
    </row>
    <row r="83" spans="1:6" x14ac:dyDescent="0.3">
      <c r="A83" t="str">
        <f>HYPERLINK("https://hsdes.intel.com/resource/14013156722","14013156722")</f>
        <v>14013156722</v>
      </c>
      <c r="B83" t="s">
        <v>257</v>
      </c>
      <c r="C83" t="s">
        <v>258</v>
      </c>
      <c r="D83" t="s">
        <v>29</v>
      </c>
      <c r="E83" t="s">
        <v>232</v>
      </c>
      <c r="F83" t="s">
        <v>259</v>
      </c>
    </row>
    <row r="84" spans="1:6" x14ac:dyDescent="0.3">
      <c r="A84" t="str">
        <f>HYPERLINK("https://hsdes.intel.com/resource/14013156723","14013156723")</f>
        <v>14013156723</v>
      </c>
      <c r="B84" t="s">
        <v>260</v>
      </c>
      <c r="C84" t="s">
        <v>261</v>
      </c>
      <c r="D84" t="s">
        <v>29</v>
      </c>
      <c r="E84" t="s">
        <v>246</v>
      </c>
      <c r="F84" t="s">
        <v>247</v>
      </c>
    </row>
    <row r="85" spans="1:6" x14ac:dyDescent="0.3">
      <c r="A85" t="str">
        <f>HYPERLINK("https://hsdes.intel.com/resource/14013156724","14013156724")</f>
        <v>14013156724</v>
      </c>
      <c r="B85" t="s">
        <v>262</v>
      </c>
      <c r="C85" t="s">
        <v>263</v>
      </c>
      <c r="D85" t="s">
        <v>29</v>
      </c>
      <c r="E85" t="s">
        <v>246</v>
      </c>
      <c r="F85" t="s">
        <v>247</v>
      </c>
    </row>
    <row r="86" spans="1:6" x14ac:dyDescent="0.3">
      <c r="A86" t="str">
        <f>HYPERLINK("https://hsdes.intel.com/resource/14013156725","14013156725")</f>
        <v>14013156725</v>
      </c>
      <c r="B86" t="s">
        <v>264</v>
      </c>
      <c r="C86" t="s">
        <v>265</v>
      </c>
      <c r="D86" t="s">
        <v>29</v>
      </c>
      <c r="E86" t="s">
        <v>232</v>
      </c>
      <c r="F86" t="s">
        <v>239</v>
      </c>
    </row>
    <row r="87" spans="1:6" x14ac:dyDescent="0.3">
      <c r="A87" t="str">
        <f>HYPERLINK("https://hsdes.intel.com/resource/14013156726","14013156726")</f>
        <v>14013156726</v>
      </c>
      <c r="B87" t="s">
        <v>266</v>
      </c>
      <c r="C87" t="s">
        <v>267</v>
      </c>
      <c r="D87" t="s">
        <v>29</v>
      </c>
      <c r="E87" t="s">
        <v>232</v>
      </c>
      <c r="F87" t="s">
        <v>259</v>
      </c>
    </row>
    <row r="88" spans="1:6" x14ac:dyDescent="0.3">
      <c r="A88" t="str">
        <f>HYPERLINK("https://hsdes.intel.com/resource/14013156728","14013156728")</f>
        <v>14013156728</v>
      </c>
      <c r="B88" t="s">
        <v>268</v>
      </c>
      <c r="C88" t="s">
        <v>269</v>
      </c>
      <c r="D88" t="s">
        <v>29</v>
      </c>
      <c r="E88" t="s">
        <v>232</v>
      </c>
      <c r="F88" t="s">
        <v>239</v>
      </c>
    </row>
    <row r="89" spans="1:6" x14ac:dyDescent="0.3">
      <c r="A89" t="str">
        <f>HYPERLINK("https://hsdes.intel.com/resource/14013156732","14013156732")</f>
        <v>14013156732</v>
      </c>
      <c r="B89" t="s">
        <v>270</v>
      </c>
      <c r="C89" t="s">
        <v>271</v>
      </c>
      <c r="D89" t="s">
        <v>29</v>
      </c>
      <c r="E89" t="s">
        <v>232</v>
      </c>
      <c r="F89" t="s">
        <v>239</v>
      </c>
    </row>
    <row r="90" spans="1:6" x14ac:dyDescent="0.3">
      <c r="A90" t="str">
        <f>HYPERLINK("https://hsdes.intel.com/resource/14013156733","14013156733")</f>
        <v>14013156733</v>
      </c>
      <c r="B90" t="s">
        <v>272</v>
      </c>
      <c r="C90" t="s">
        <v>273</v>
      </c>
      <c r="D90" t="s">
        <v>29</v>
      </c>
      <c r="E90" t="s">
        <v>232</v>
      </c>
      <c r="F90" t="s">
        <v>274</v>
      </c>
    </row>
    <row r="91" spans="1:6" x14ac:dyDescent="0.3">
      <c r="A91" t="str">
        <f>HYPERLINK("https://hsdes.intel.com/resource/14013156734","14013156734")</f>
        <v>14013156734</v>
      </c>
      <c r="B91" t="s">
        <v>275</v>
      </c>
      <c r="C91" t="s">
        <v>276</v>
      </c>
      <c r="D91" t="s">
        <v>67</v>
      </c>
      <c r="E91" t="s">
        <v>18</v>
      </c>
      <c r="F91" t="s">
        <v>277</v>
      </c>
    </row>
    <row r="92" spans="1:6" x14ac:dyDescent="0.3">
      <c r="A92" t="str">
        <f>HYPERLINK("https://hsdes.intel.com/resource/14013156736","14013156736")</f>
        <v>14013156736</v>
      </c>
      <c r="B92" t="s">
        <v>278</v>
      </c>
      <c r="C92" t="s">
        <v>279</v>
      </c>
      <c r="D92" t="s">
        <v>67</v>
      </c>
      <c r="E92" t="s">
        <v>18</v>
      </c>
      <c r="F92" t="s">
        <v>236</v>
      </c>
    </row>
    <row r="93" spans="1:6" x14ac:dyDescent="0.3">
      <c r="A93" t="str">
        <f>HYPERLINK("https://hsdes.intel.com/resource/14013156756","14013156756")</f>
        <v>14013156756</v>
      </c>
      <c r="B93" t="s">
        <v>280</v>
      </c>
      <c r="C93" t="s">
        <v>281</v>
      </c>
      <c r="D93" t="s">
        <v>22</v>
      </c>
      <c r="E93" t="s">
        <v>30</v>
      </c>
      <c r="F93" t="s">
        <v>236</v>
      </c>
    </row>
    <row r="94" spans="1:6" x14ac:dyDescent="0.3">
      <c r="A94" t="str">
        <f>HYPERLINK("https://hsdes.intel.com/resource/14013156767","14013156767")</f>
        <v>14013156767</v>
      </c>
      <c r="B94" t="s">
        <v>282</v>
      </c>
      <c r="C94" t="s">
        <v>283</v>
      </c>
      <c r="D94" t="s">
        <v>67</v>
      </c>
      <c r="E94" t="s">
        <v>63</v>
      </c>
      <c r="F94" t="s">
        <v>284</v>
      </c>
    </row>
    <row r="95" spans="1:6" x14ac:dyDescent="0.3">
      <c r="A95" t="str">
        <f>HYPERLINK("https://hsdes.intel.com/resource/14013156774","14013156774")</f>
        <v>14013156774</v>
      </c>
      <c r="B95" t="s">
        <v>285</v>
      </c>
      <c r="C95" t="s">
        <v>286</v>
      </c>
      <c r="D95" t="s">
        <v>98</v>
      </c>
      <c r="E95" t="s">
        <v>63</v>
      </c>
      <c r="F95" t="s">
        <v>287</v>
      </c>
    </row>
    <row r="96" spans="1:6" x14ac:dyDescent="0.3">
      <c r="A96" t="str">
        <f>HYPERLINK("https://hsdes.intel.com/resource/14013156775","14013156775")</f>
        <v>14013156775</v>
      </c>
      <c r="B96" t="s">
        <v>288</v>
      </c>
      <c r="C96" t="s">
        <v>289</v>
      </c>
      <c r="D96" t="s">
        <v>22</v>
      </c>
      <c r="E96" t="s">
        <v>18</v>
      </c>
      <c r="F96" t="s">
        <v>284</v>
      </c>
    </row>
    <row r="97" spans="1:6" x14ac:dyDescent="0.3">
      <c r="A97" t="str">
        <f>HYPERLINK("https://hsdes.intel.com/resource/14013156776","14013156776")</f>
        <v>14013156776</v>
      </c>
      <c r="B97" t="s">
        <v>290</v>
      </c>
      <c r="C97" t="s">
        <v>291</v>
      </c>
      <c r="D97" t="s">
        <v>98</v>
      </c>
      <c r="E97" t="s">
        <v>30</v>
      </c>
      <c r="F97" t="s">
        <v>287</v>
      </c>
    </row>
    <row r="98" spans="1:6" x14ac:dyDescent="0.3">
      <c r="A98" t="str">
        <f>HYPERLINK("https://hsdes.intel.com/resource/14013156780","14013156780")</f>
        <v>14013156780</v>
      </c>
      <c r="B98" t="s">
        <v>292</v>
      </c>
      <c r="C98" t="s">
        <v>293</v>
      </c>
      <c r="D98" t="s">
        <v>17</v>
      </c>
      <c r="E98" t="s">
        <v>18</v>
      </c>
      <c r="F98" t="s">
        <v>294</v>
      </c>
    </row>
    <row r="99" spans="1:6" x14ac:dyDescent="0.3">
      <c r="A99" t="str">
        <f>HYPERLINK("https://hsdes.intel.com/resource/14013156783","14013156783")</f>
        <v>14013156783</v>
      </c>
      <c r="B99" t="s">
        <v>295</v>
      </c>
      <c r="C99" t="s">
        <v>296</v>
      </c>
      <c r="D99" t="s">
        <v>17</v>
      </c>
      <c r="E99" t="s">
        <v>18</v>
      </c>
      <c r="F99" t="s">
        <v>297</v>
      </c>
    </row>
    <row r="100" spans="1:6" x14ac:dyDescent="0.3">
      <c r="A100" t="str">
        <f>HYPERLINK("https://hsdes.intel.com/resource/14013156788","14013156788")</f>
        <v>14013156788</v>
      </c>
      <c r="B100" t="s">
        <v>298</v>
      </c>
      <c r="C100" t="s">
        <v>299</v>
      </c>
      <c r="D100" t="s">
        <v>98</v>
      </c>
      <c r="E100" t="s">
        <v>80</v>
      </c>
      <c r="F100" t="s">
        <v>300</v>
      </c>
    </row>
    <row r="101" spans="1:6" x14ac:dyDescent="0.3">
      <c r="A101" t="str">
        <f>HYPERLINK("https://hsdes.intel.com/resource/14013156792","14013156792")</f>
        <v>14013156792</v>
      </c>
      <c r="B101" t="s">
        <v>301</v>
      </c>
      <c r="C101" t="s">
        <v>302</v>
      </c>
      <c r="D101" t="s">
        <v>6</v>
      </c>
      <c r="E101" t="s">
        <v>18</v>
      </c>
      <c r="F101" t="s">
        <v>59</v>
      </c>
    </row>
    <row r="102" spans="1:6" x14ac:dyDescent="0.3">
      <c r="A102" t="str">
        <f>HYPERLINK("https://hsdes.intel.com/resource/14013156795","14013156795")</f>
        <v>14013156795</v>
      </c>
      <c r="B102" t="s">
        <v>303</v>
      </c>
      <c r="C102" t="s">
        <v>304</v>
      </c>
      <c r="D102" t="s">
        <v>6</v>
      </c>
      <c r="E102" t="s">
        <v>18</v>
      </c>
      <c r="F102" t="s">
        <v>8</v>
      </c>
    </row>
    <row r="103" spans="1:6" x14ac:dyDescent="0.3">
      <c r="A103" t="str">
        <f>HYPERLINK("https://hsdes.intel.com/resource/14013156796","14013156796")</f>
        <v>14013156796</v>
      </c>
      <c r="B103" t="s">
        <v>305</v>
      </c>
      <c r="C103" t="s">
        <v>306</v>
      </c>
      <c r="D103" t="s">
        <v>22</v>
      </c>
      <c r="E103" t="s">
        <v>18</v>
      </c>
      <c r="F103" t="s">
        <v>307</v>
      </c>
    </row>
    <row r="104" spans="1:6" x14ac:dyDescent="0.3">
      <c r="A104" t="str">
        <f>HYPERLINK("https://hsdes.intel.com/resource/14013156798","14013156798")</f>
        <v>14013156798</v>
      </c>
      <c r="B104" t="s">
        <v>308</v>
      </c>
      <c r="C104" t="s">
        <v>309</v>
      </c>
      <c r="D104" t="s">
        <v>6</v>
      </c>
      <c r="E104" t="s">
        <v>18</v>
      </c>
      <c r="F104" t="s">
        <v>8</v>
      </c>
    </row>
    <row r="105" spans="1:6" x14ac:dyDescent="0.3">
      <c r="A105" t="str">
        <f>HYPERLINK("https://hsdes.intel.com/resource/14013156799","14013156799")</f>
        <v>14013156799</v>
      </c>
      <c r="B105" t="s">
        <v>310</v>
      </c>
      <c r="C105" t="s">
        <v>311</v>
      </c>
      <c r="D105" t="s">
        <v>22</v>
      </c>
      <c r="E105" t="s">
        <v>18</v>
      </c>
      <c r="F105" t="s">
        <v>312</v>
      </c>
    </row>
    <row r="106" spans="1:6" x14ac:dyDescent="0.3">
      <c r="A106" t="str">
        <f>HYPERLINK("https://hsdes.intel.com/resource/14013156800","14013156800")</f>
        <v>14013156800</v>
      </c>
      <c r="B106" t="s">
        <v>313</v>
      </c>
      <c r="C106" t="s">
        <v>314</v>
      </c>
      <c r="D106" t="s">
        <v>6</v>
      </c>
      <c r="E106" t="s">
        <v>18</v>
      </c>
      <c r="F106" t="s">
        <v>8</v>
      </c>
    </row>
    <row r="107" spans="1:6" x14ac:dyDescent="0.3">
      <c r="A107" t="str">
        <f>HYPERLINK("https://hsdes.intel.com/resource/14013156801","14013156801")</f>
        <v>14013156801</v>
      </c>
      <c r="B107" t="s">
        <v>315</v>
      </c>
      <c r="C107" t="s">
        <v>316</v>
      </c>
      <c r="D107" t="s">
        <v>6</v>
      </c>
      <c r="E107" t="s">
        <v>18</v>
      </c>
      <c r="F107" t="s">
        <v>19</v>
      </c>
    </row>
    <row r="108" spans="1:6" x14ac:dyDescent="0.3">
      <c r="A108" t="str">
        <f>HYPERLINK("https://hsdes.intel.com/resource/14013156802","14013156802")</f>
        <v>14013156802</v>
      </c>
      <c r="B108" t="s">
        <v>317</v>
      </c>
      <c r="C108" t="s">
        <v>318</v>
      </c>
      <c r="D108" t="s">
        <v>6</v>
      </c>
      <c r="E108" t="s">
        <v>18</v>
      </c>
      <c r="F108" t="s">
        <v>8</v>
      </c>
    </row>
    <row r="109" spans="1:6" x14ac:dyDescent="0.3">
      <c r="A109" t="str">
        <f>HYPERLINK("https://hsdes.intel.com/resource/14013156804","14013156804")</f>
        <v>14013156804</v>
      </c>
      <c r="B109" t="s">
        <v>319</v>
      </c>
      <c r="C109" t="s">
        <v>320</v>
      </c>
      <c r="D109" t="s">
        <v>22</v>
      </c>
      <c r="E109" t="s">
        <v>18</v>
      </c>
      <c r="F109" t="s">
        <v>321</v>
      </c>
    </row>
    <row r="110" spans="1:6" x14ac:dyDescent="0.3">
      <c r="A110" t="str">
        <f>HYPERLINK("https://hsdes.intel.com/resource/14013156805","14013156805")</f>
        <v>14013156805</v>
      </c>
      <c r="B110" t="s">
        <v>322</v>
      </c>
      <c r="C110" t="s">
        <v>323</v>
      </c>
      <c r="D110" t="s">
        <v>6</v>
      </c>
      <c r="E110" t="s">
        <v>18</v>
      </c>
      <c r="F110" t="s">
        <v>324</v>
      </c>
    </row>
    <row r="111" spans="1:6" x14ac:dyDescent="0.3">
      <c r="A111" t="str">
        <f>HYPERLINK("https://hsdes.intel.com/resource/14013156807","14013156807")</f>
        <v>14013156807</v>
      </c>
      <c r="B111" t="s">
        <v>325</v>
      </c>
      <c r="C111" t="s">
        <v>326</v>
      </c>
      <c r="D111" t="s">
        <v>22</v>
      </c>
      <c r="E111" t="s">
        <v>18</v>
      </c>
      <c r="F111" t="s">
        <v>26</v>
      </c>
    </row>
    <row r="112" spans="1:6" x14ac:dyDescent="0.3">
      <c r="A112" t="str">
        <f>HYPERLINK("https://hsdes.intel.com/resource/14013156809","14013156809")</f>
        <v>14013156809</v>
      </c>
      <c r="B112" t="s">
        <v>327</v>
      </c>
      <c r="C112" t="s">
        <v>328</v>
      </c>
      <c r="D112" t="s">
        <v>22</v>
      </c>
      <c r="E112" t="s">
        <v>18</v>
      </c>
      <c r="F112" t="s">
        <v>23</v>
      </c>
    </row>
    <row r="113" spans="1:6" x14ac:dyDescent="0.3">
      <c r="A113" t="str">
        <f>HYPERLINK("https://hsdes.intel.com/resource/14013156833","14013156833")</f>
        <v>14013156833</v>
      </c>
      <c r="B113" t="s">
        <v>329</v>
      </c>
      <c r="C113" t="s">
        <v>330</v>
      </c>
      <c r="D113" t="s">
        <v>22</v>
      </c>
      <c r="E113" t="s">
        <v>18</v>
      </c>
      <c r="F113" t="s">
        <v>331</v>
      </c>
    </row>
    <row r="114" spans="1:6" x14ac:dyDescent="0.3">
      <c r="A114" t="str">
        <f>HYPERLINK("https://hsdes.intel.com/resource/14013156839","14013156839")</f>
        <v>14013156839</v>
      </c>
      <c r="B114" t="s">
        <v>332</v>
      </c>
      <c r="C114" t="s">
        <v>333</v>
      </c>
      <c r="D114" t="s">
        <v>22</v>
      </c>
      <c r="E114" t="s">
        <v>18</v>
      </c>
      <c r="F114" t="s">
        <v>334</v>
      </c>
    </row>
    <row r="115" spans="1:6" x14ac:dyDescent="0.3">
      <c r="A115" t="str">
        <f>HYPERLINK("https://hsdes.intel.com/resource/14013156842","14013156842")</f>
        <v>14013156842</v>
      </c>
      <c r="B115" t="s">
        <v>335</v>
      </c>
      <c r="C115" t="s">
        <v>336</v>
      </c>
      <c r="D115" t="s">
        <v>22</v>
      </c>
      <c r="E115" t="s">
        <v>18</v>
      </c>
      <c r="F115" t="s">
        <v>337</v>
      </c>
    </row>
    <row r="116" spans="1:6" x14ac:dyDescent="0.3">
      <c r="A116" t="str">
        <f>HYPERLINK("https://hsdes.intel.com/resource/14013156843","14013156843")</f>
        <v>14013156843</v>
      </c>
      <c r="B116" t="s">
        <v>338</v>
      </c>
      <c r="C116" t="s">
        <v>339</v>
      </c>
      <c r="D116" t="s">
        <v>17</v>
      </c>
      <c r="E116" t="s">
        <v>18</v>
      </c>
      <c r="F116" t="s">
        <v>340</v>
      </c>
    </row>
    <row r="117" spans="1:6" x14ac:dyDescent="0.3">
      <c r="A117" t="str">
        <f>HYPERLINK("https://hsdes.intel.com/resource/14013156844","14013156844")</f>
        <v>14013156844</v>
      </c>
      <c r="B117" t="s">
        <v>341</v>
      </c>
      <c r="C117" t="s">
        <v>342</v>
      </c>
      <c r="D117" t="s">
        <v>17</v>
      </c>
      <c r="E117" t="s">
        <v>18</v>
      </c>
      <c r="F117" t="s">
        <v>343</v>
      </c>
    </row>
    <row r="118" spans="1:6" x14ac:dyDescent="0.3">
      <c r="A118" t="str">
        <f>HYPERLINK("https://hsdes.intel.com/resource/14013156845","14013156845")</f>
        <v>14013156845</v>
      </c>
      <c r="B118" t="s">
        <v>344</v>
      </c>
      <c r="C118" t="s">
        <v>345</v>
      </c>
      <c r="D118" t="s">
        <v>17</v>
      </c>
      <c r="E118" t="s">
        <v>18</v>
      </c>
      <c r="F118" t="s">
        <v>346</v>
      </c>
    </row>
    <row r="119" spans="1:6" x14ac:dyDescent="0.3">
      <c r="A119" t="str">
        <f>HYPERLINK("https://hsdes.intel.com/resource/14013156846","14013156846")</f>
        <v>14013156846</v>
      </c>
      <c r="B119" t="s">
        <v>347</v>
      </c>
      <c r="C119" t="s">
        <v>348</v>
      </c>
      <c r="D119" t="s">
        <v>22</v>
      </c>
      <c r="E119" t="s">
        <v>18</v>
      </c>
      <c r="F119" t="s">
        <v>349</v>
      </c>
    </row>
    <row r="120" spans="1:6" x14ac:dyDescent="0.3">
      <c r="A120" t="str">
        <f>HYPERLINK("https://hsdes.intel.com/resource/14013156847","14013156847")</f>
        <v>14013156847</v>
      </c>
      <c r="B120" t="s">
        <v>350</v>
      </c>
      <c r="C120" t="s">
        <v>351</v>
      </c>
      <c r="D120" t="s">
        <v>22</v>
      </c>
      <c r="E120" t="s">
        <v>18</v>
      </c>
      <c r="F120" t="s">
        <v>19</v>
      </c>
    </row>
    <row r="121" spans="1:6" x14ac:dyDescent="0.3">
      <c r="A121" t="str">
        <f>HYPERLINK("https://hsdes.intel.com/resource/14013156848","14013156848")</f>
        <v>14013156848</v>
      </c>
      <c r="B121" t="s">
        <v>352</v>
      </c>
      <c r="C121" t="s">
        <v>353</v>
      </c>
      <c r="D121" t="s">
        <v>22</v>
      </c>
      <c r="E121" t="s">
        <v>18</v>
      </c>
      <c r="F121" t="s">
        <v>337</v>
      </c>
    </row>
    <row r="122" spans="1:6" x14ac:dyDescent="0.3">
      <c r="A122" t="str">
        <f>HYPERLINK("https://hsdes.intel.com/resource/14013156854","14013156854")</f>
        <v>14013156854</v>
      </c>
      <c r="B122" t="s">
        <v>354</v>
      </c>
      <c r="C122" t="s">
        <v>355</v>
      </c>
      <c r="D122" t="s">
        <v>22</v>
      </c>
      <c r="E122" t="s">
        <v>18</v>
      </c>
      <c r="F122" t="s">
        <v>23</v>
      </c>
    </row>
    <row r="123" spans="1:6" x14ac:dyDescent="0.3">
      <c r="A123" t="str">
        <f>HYPERLINK("https://hsdes.intel.com/resource/14013156857","14013156857")</f>
        <v>14013156857</v>
      </c>
      <c r="B123" t="s">
        <v>356</v>
      </c>
      <c r="C123" t="s">
        <v>357</v>
      </c>
      <c r="D123" t="s">
        <v>17</v>
      </c>
      <c r="E123" t="s">
        <v>18</v>
      </c>
      <c r="F123" t="s">
        <v>99</v>
      </c>
    </row>
    <row r="124" spans="1:6" x14ac:dyDescent="0.3">
      <c r="A124" t="str">
        <f>HYPERLINK("https://hsdes.intel.com/resource/14013156858","14013156858")</f>
        <v>14013156858</v>
      </c>
      <c r="B124" t="s">
        <v>358</v>
      </c>
      <c r="C124" t="s">
        <v>359</v>
      </c>
      <c r="D124" t="s">
        <v>17</v>
      </c>
      <c r="E124" t="s">
        <v>18</v>
      </c>
      <c r="F124" t="s">
        <v>360</v>
      </c>
    </row>
    <row r="125" spans="1:6" x14ac:dyDescent="0.3">
      <c r="A125" t="str">
        <f>HYPERLINK("https://hsdes.intel.com/resource/14013156860","14013156860")</f>
        <v>14013156860</v>
      </c>
      <c r="B125" t="s">
        <v>361</v>
      </c>
      <c r="C125" t="s">
        <v>362</v>
      </c>
      <c r="D125" t="s">
        <v>22</v>
      </c>
      <c r="E125" t="s">
        <v>18</v>
      </c>
      <c r="F125" t="s">
        <v>363</v>
      </c>
    </row>
    <row r="126" spans="1:6" x14ac:dyDescent="0.3">
      <c r="A126" t="str">
        <f>HYPERLINK("https://hsdes.intel.com/resource/14013156862","14013156862")</f>
        <v>14013156862</v>
      </c>
      <c r="B126" t="s">
        <v>364</v>
      </c>
      <c r="C126" t="s">
        <v>365</v>
      </c>
      <c r="D126" t="s">
        <v>22</v>
      </c>
      <c r="E126" t="s">
        <v>18</v>
      </c>
      <c r="F126" t="s">
        <v>26</v>
      </c>
    </row>
    <row r="127" spans="1:6" x14ac:dyDescent="0.3">
      <c r="A127" t="str">
        <f>HYPERLINK("https://hsdes.intel.com/resource/14013156866","14013156866")</f>
        <v>14013156866</v>
      </c>
      <c r="B127" t="s">
        <v>366</v>
      </c>
      <c r="C127" t="s">
        <v>367</v>
      </c>
      <c r="D127" t="s">
        <v>22</v>
      </c>
      <c r="E127" t="s">
        <v>18</v>
      </c>
      <c r="F127" t="s">
        <v>26</v>
      </c>
    </row>
    <row r="128" spans="1:6" x14ac:dyDescent="0.3">
      <c r="A128" t="str">
        <f>HYPERLINK("https://hsdes.intel.com/resource/14013156868","14013156868")</f>
        <v>14013156868</v>
      </c>
      <c r="B128" t="s">
        <v>368</v>
      </c>
      <c r="C128" t="s">
        <v>369</v>
      </c>
      <c r="D128" t="s">
        <v>22</v>
      </c>
      <c r="E128" t="s">
        <v>18</v>
      </c>
      <c r="F128" t="s">
        <v>370</v>
      </c>
    </row>
    <row r="129" spans="1:6" x14ac:dyDescent="0.3">
      <c r="A129" t="str">
        <f>HYPERLINK("https://hsdes.intel.com/resource/14013156870","14013156870")</f>
        <v>14013156870</v>
      </c>
      <c r="B129" t="s">
        <v>371</v>
      </c>
      <c r="C129" t="s">
        <v>372</v>
      </c>
      <c r="D129" t="s">
        <v>22</v>
      </c>
      <c r="E129" t="s">
        <v>18</v>
      </c>
      <c r="F129" t="s">
        <v>74</v>
      </c>
    </row>
    <row r="130" spans="1:6" x14ac:dyDescent="0.3">
      <c r="A130" t="str">
        <f>HYPERLINK("https://hsdes.intel.com/resource/14013156872","14013156872")</f>
        <v>14013156872</v>
      </c>
      <c r="B130" t="s">
        <v>373</v>
      </c>
      <c r="C130" t="s">
        <v>374</v>
      </c>
      <c r="D130" t="s">
        <v>22</v>
      </c>
      <c r="E130" t="s">
        <v>18</v>
      </c>
      <c r="F130" t="s">
        <v>375</v>
      </c>
    </row>
    <row r="131" spans="1:6" x14ac:dyDescent="0.3">
      <c r="A131" t="str">
        <f>HYPERLINK("https://hsdes.intel.com/resource/14013156874","14013156874")</f>
        <v>14013156874</v>
      </c>
      <c r="B131" t="s">
        <v>376</v>
      </c>
      <c r="C131" t="s">
        <v>377</v>
      </c>
      <c r="D131" t="s">
        <v>22</v>
      </c>
      <c r="E131" t="s">
        <v>18</v>
      </c>
      <c r="F131" t="s">
        <v>26</v>
      </c>
    </row>
    <row r="132" spans="1:6" x14ac:dyDescent="0.3">
      <c r="A132" t="str">
        <f>HYPERLINK("https://hsdes.intel.com/resource/14013156877","14013156877")</f>
        <v>14013156877</v>
      </c>
      <c r="B132" t="s">
        <v>378</v>
      </c>
      <c r="C132" t="s">
        <v>379</v>
      </c>
      <c r="D132" t="s">
        <v>22</v>
      </c>
      <c r="E132" t="s">
        <v>18</v>
      </c>
      <c r="F132" t="s">
        <v>19</v>
      </c>
    </row>
    <row r="133" spans="1:6" x14ac:dyDescent="0.3">
      <c r="A133" t="str">
        <f>HYPERLINK("https://hsdes.intel.com/resource/14013156879","14013156879")</f>
        <v>14013156879</v>
      </c>
      <c r="B133" t="s">
        <v>380</v>
      </c>
      <c r="C133" t="s">
        <v>381</v>
      </c>
      <c r="D133" t="s">
        <v>22</v>
      </c>
      <c r="E133" t="s">
        <v>18</v>
      </c>
      <c r="F133" t="s">
        <v>382</v>
      </c>
    </row>
    <row r="134" spans="1:6" x14ac:dyDescent="0.3">
      <c r="A134" t="str">
        <f>HYPERLINK("https://hsdes.intel.com/resource/14013156880","14013156880")</f>
        <v>14013156880</v>
      </c>
      <c r="B134" t="s">
        <v>383</v>
      </c>
      <c r="C134" t="s">
        <v>384</v>
      </c>
      <c r="D134" t="s">
        <v>22</v>
      </c>
      <c r="E134" t="s">
        <v>18</v>
      </c>
      <c r="F134" t="s">
        <v>71</v>
      </c>
    </row>
    <row r="135" spans="1:6" x14ac:dyDescent="0.3">
      <c r="A135" t="str">
        <f>HYPERLINK("https://hsdes.intel.com/resource/14013156883","14013156883")</f>
        <v>14013156883</v>
      </c>
      <c r="B135" t="s">
        <v>385</v>
      </c>
      <c r="C135" t="s">
        <v>386</v>
      </c>
      <c r="D135" t="s">
        <v>6</v>
      </c>
      <c r="E135" t="s">
        <v>18</v>
      </c>
      <c r="F135" t="s">
        <v>387</v>
      </c>
    </row>
    <row r="136" spans="1:6" x14ac:dyDescent="0.3">
      <c r="A136" t="str">
        <f>HYPERLINK("https://hsdes.intel.com/resource/14013156893","14013156893")</f>
        <v>14013156893</v>
      </c>
      <c r="B136" t="s">
        <v>388</v>
      </c>
      <c r="C136" t="s">
        <v>389</v>
      </c>
      <c r="D136" t="s">
        <v>22</v>
      </c>
      <c r="E136" t="s">
        <v>18</v>
      </c>
      <c r="F136" t="s">
        <v>300</v>
      </c>
    </row>
    <row r="137" spans="1:6" x14ac:dyDescent="0.3">
      <c r="A137" t="str">
        <f>HYPERLINK("https://hsdes.intel.com/resource/14013156896","14013156896")</f>
        <v>14013156896</v>
      </c>
      <c r="B137" t="s">
        <v>390</v>
      </c>
      <c r="C137" t="s">
        <v>391</v>
      </c>
      <c r="D137" t="s">
        <v>22</v>
      </c>
      <c r="E137" t="s">
        <v>18</v>
      </c>
      <c r="F137" t="s">
        <v>392</v>
      </c>
    </row>
    <row r="138" spans="1:6" x14ac:dyDescent="0.3">
      <c r="A138" t="str">
        <f>HYPERLINK("https://hsdes.intel.com/resource/14013156898","14013156898")</f>
        <v>14013156898</v>
      </c>
      <c r="B138" t="s">
        <v>393</v>
      </c>
      <c r="C138" t="s">
        <v>394</v>
      </c>
      <c r="D138" t="s">
        <v>22</v>
      </c>
      <c r="E138" t="s">
        <v>18</v>
      </c>
      <c r="F138" t="s">
        <v>105</v>
      </c>
    </row>
    <row r="139" spans="1:6" x14ac:dyDescent="0.3">
      <c r="A139" t="str">
        <f>HYPERLINK("https://hsdes.intel.com/resource/14013156900","14013156900")</f>
        <v>14013156900</v>
      </c>
      <c r="B139" t="s">
        <v>395</v>
      </c>
      <c r="C139" t="s">
        <v>396</v>
      </c>
      <c r="D139" t="s">
        <v>22</v>
      </c>
      <c r="E139" t="s">
        <v>18</v>
      </c>
      <c r="F139" t="s">
        <v>105</v>
      </c>
    </row>
    <row r="140" spans="1:6" x14ac:dyDescent="0.3">
      <c r="A140" t="str">
        <f>HYPERLINK("https://hsdes.intel.com/resource/14013156903","14013156903")</f>
        <v>14013156903</v>
      </c>
      <c r="B140" t="s">
        <v>397</v>
      </c>
      <c r="C140" t="s">
        <v>398</v>
      </c>
      <c r="D140" t="s">
        <v>22</v>
      </c>
      <c r="E140" t="s">
        <v>18</v>
      </c>
      <c r="F140" t="s">
        <v>26</v>
      </c>
    </row>
    <row r="141" spans="1:6" x14ac:dyDescent="0.3">
      <c r="A141" t="str">
        <f>HYPERLINK("https://hsdes.intel.com/resource/14013156911","14013156911")</f>
        <v>14013156911</v>
      </c>
      <c r="B141" t="s">
        <v>399</v>
      </c>
      <c r="C141" t="s">
        <v>400</v>
      </c>
      <c r="D141" t="s">
        <v>22</v>
      </c>
      <c r="E141" t="s">
        <v>18</v>
      </c>
      <c r="F141" t="s">
        <v>312</v>
      </c>
    </row>
    <row r="142" spans="1:6" x14ac:dyDescent="0.3">
      <c r="A142" t="str">
        <f>HYPERLINK("https://hsdes.intel.com/resource/14013156915","14013156915")</f>
        <v>14013156915</v>
      </c>
      <c r="B142" t="s">
        <v>401</v>
      </c>
      <c r="C142" t="s">
        <v>402</v>
      </c>
      <c r="D142" t="s">
        <v>22</v>
      </c>
      <c r="E142" t="s">
        <v>18</v>
      </c>
      <c r="F142" t="s">
        <v>403</v>
      </c>
    </row>
    <row r="143" spans="1:6" x14ac:dyDescent="0.3">
      <c r="A143" t="str">
        <f>HYPERLINK("https://hsdes.intel.com/resource/14013156931","14013156931")</f>
        <v>14013156931</v>
      </c>
      <c r="B143" t="s">
        <v>404</v>
      </c>
      <c r="C143" t="s">
        <v>405</v>
      </c>
      <c r="D143" t="s">
        <v>22</v>
      </c>
      <c r="E143" t="s">
        <v>18</v>
      </c>
      <c r="F143" t="s">
        <v>403</v>
      </c>
    </row>
    <row r="144" spans="1:6" x14ac:dyDescent="0.3">
      <c r="A144" t="str">
        <f>HYPERLINK("https://hsdes.intel.com/resource/14013156951","14013156951")</f>
        <v>14013156951</v>
      </c>
      <c r="B144" t="s">
        <v>406</v>
      </c>
      <c r="C144" t="s">
        <v>407</v>
      </c>
      <c r="D144" t="s">
        <v>22</v>
      </c>
      <c r="E144" t="s">
        <v>408</v>
      </c>
      <c r="F144" t="s">
        <v>409</v>
      </c>
    </row>
    <row r="145" spans="1:6" x14ac:dyDescent="0.3">
      <c r="A145" t="str">
        <f>HYPERLINK("https://hsdes.intel.com/resource/14013156953","14013156953")</f>
        <v>14013156953</v>
      </c>
      <c r="B145" t="s">
        <v>410</v>
      </c>
      <c r="C145" t="s">
        <v>411</v>
      </c>
      <c r="D145" t="s">
        <v>22</v>
      </c>
      <c r="E145" t="s">
        <v>18</v>
      </c>
      <c r="F145" t="s">
        <v>412</v>
      </c>
    </row>
    <row r="146" spans="1:6" x14ac:dyDescent="0.3">
      <c r="A146" t="str">
        <f>HYPERLINK("https://hsdes.intel.com/resource/14013156955","14013156955")</f>
        <v>14013156955</v>
      </c>
      <c r="B146" t="s">
        <v>413</v>
      </c>
      <c r="C146" t="s">
        <v>414</v>
      </c>
      <c r="D146" t="s">
        <v>22</v>
      </c>
      <c r="E146" t="s">
        <v>18</v>
      </c>
      <c r="F146" t="s">
        <v>105</v>
      </c>
    </row>
    <row r="147" spans="1:6" x14ac:dyDescent="0.3">
      <c r="A147" t="str">
        <f>HYPERLINK("https://hsdes.intel.com/resource/14013156976","14013156976")</f>
        <v>14013156976</v>
      </c>
      <c r="B147" t="s">
        <v>415</v>
      </c>
      <c r="C147" t="s">
        <v>416</v>
      </c>
      <c r="D147" t="s">
        <v>22</v>
      </c>
      <c r="E147" t="s">
        <v>18</v>
      </c>
      <c r="F147" t="s">
        <v>417</v>
      </c>
    </row>
    <row r="148" spans="1:6" x14ac:dyDescent="0.3">
      <c r="A148" t="str">
        <f>HYPERLINK("https://hsdes.intel.com/resource/14013156977","14013156977")</f>
        <v>14013156977</v>
      </c>
      <c r="B148" t="s">
        <v>418</v>
      </c>
      <c r="C148" t="s">
        <v>419</v>
      </c>
      <c r="D148" t="s">
        <v>22</v>
      </c>
      <c r="E148" t="s">
        <v>18</v>
      </c>
      <c r="F148" t="s">
        <v>300</v>
      </c>
    </row>
    <row r="149" spans="1:6" x14ac:dyDescent="0.3">
      <c r="A149" t="str">
        <f>HYPERLINK("https://hsdes.intel.com/resource/14013156979","14013156979")</f>
        <v>14013156979</v>
      </c>
      <c r="B149" t="s">
        <v>420</v>
      </c>
      <c r="C149" t="s">
        <v>421</v>
      </c>
      <c r="D149" t="s">
        <v>22</v>
      </c>
      <c r="E149" t="s">
        <v>18</v>
      </c>
      <c r="F149" t="s">
        <v>422</v>
      </c>
    </row>
    <row r="150" spans="1:6" x14ac:dyDescent="0.3">
      <c r="A150" t="str">
        <f>HYPERLINK("https://hsdes.intel.com/resource/14013156980","14013156980")</f>
        <v>14013156980</v>
      </c>
      <c r="B150" t="s">
        <v>423</v>
      </c>
      <c r="C150" t="s">
        <v>424</v>
      </c>
      <c r="D150" t="s">
        <v>22</v>
      </c>
      <c r="E150" t="s">
        <v>18</v>
      </c>
      <c r="F150" t="s">
        <v>312</v>
      </c>
    </row>
    <row r="151" spans="1:6" x14ac:dyDescent="0.3">
      <c r="A151" t="str">
        <f>HYPERLINK("https://hsdes.intel.com/resource/14013157004","14013157004")</f>
        <v>14013157004</v>
      </c>
      <c r="B151" t="s">
        <v>425</v>
      </c>
      <c r="C151" t="s">
        <v>426</v>
      </c>
      <c r="D151" t="s">
        <v>22</v>
      </c>
      <c r="E151" t="s">
        <v>18</v>
      </c>
      <c r="F151" t="s">
        <v>427</v>
      </c>
    </row>
    <row r="152" spans="1:6" x14ac:dyDescent="0.3">
      <c r="A152" t="str">
        <f>HYPERLINK("https://hsdes.intel.com/resource/14013157008","14013157008")</f>
        <v>14013157008</v>
      </c>
      <c r="B152" t="s">
        <v>428</v>
      </c>
      <c r="C152" t="s">
        <v>429</v>
      </c>
      <c r="D152" t="s">
        <v>22</v>
      </c>
      <c r="E152" t="s">
        <v>18</v>
      </c>
      <c r="F152" t="s">
        <v>430</v>
      </c>
    </row>
    <row r="153" spans="1:6" x14ac:dyDescent="0.3">
      <c r="A153" t="str">
        <f>HYPERLINK("https://hsdes.intel.com/resource/14013157009","14013157009")</f>
        <v>14013157009</v>
      </c>
      <c r="B153" t="s">
        <v>431</v>
      </c>
      <c r="C153" t="s">
        <v>432</v>
      </c>
      <c r="D153" t="s">
        <v>22</v>
      </c>
      <c r="E153" t="s">
        <v>18</v>
      </c>
      <c r="F153" t="s">
        <v>433</v>
      </c>
    </row>
    <row r="154" spans="1:6" x14ac:dyDescent="0.3">
      <c r="A154" t="str">
        <f>HYPERLINK("https://hsdes.intel.com/resource/14013157010","14013157010")</f>
        <v>14013157010</v>
      </c>
      <c r="B154" t="s">
        <v>434</v>
      </c>
      <c r="C154" t="s">
        <v>435</v>
      </c>
      <c r="D154" t="s">
        <v>22</v>
      </c>
      <c r="E154" t="s">
        <v>18</v>
      </c>
      <c r="F154" t="s">
        <v>436</v>
      </c>
    </row>
    <row r="155" spans="1:6" x14ac:dyDescent="0.3">
      <c r="A155" t="str">
        <f>HYPERLINK("https://hsdes.intel.com/resource/14013157012","14013157012")</f>
        <v>14013157012</v>
      </c>
      <c r="B155" t="s">
        <v>437</v>
      </c>
      <c r="C155" t="s">
        <v>438</v>
      </c>
      <c r="D155" t="s">
        <v>22</v>
      </c>
      <c r="E155" t="s">
        <v>18</v>
      </c>
      <c r="F155" t="s">
        <v>417</v>
      </c>
    </row>
    <row r="156" spans="1:6" x14ac:dyDescent="0.3">
      <c r="A156" t="str">
        <f>HYPERLINK("https://hsdes.intel.com/resource/14013157017","14013157017")</f>
        <v>14013157017</v>
      </c>
      <c r="B156" t="s">
        <v>439</v>
      </c>
      <c r="C156" t="s">
        <v>440</v>
      </c>
      <c r="D156" t="s">
        <v>22</v>
      </c>
      <c r="E156" t="s">
        <v>18</v>
      </c>
      <c r="F156" t="s">
        <v>417</v>
      </c>
    </row>
    <row r="157" spans="1:6" x14ac:dyDescent="0.3">
      <c r="A157" t="str">
        <f>HYPERLINK("https://hsdes.intel.com/resource/14013157021","14013157021")</f>
        <v>14013157021</v>
      </c>
      <c r="B157" t="s">
        <v>441</v>
      </c>
      <c r="C157" t="s">
        <v>442</v>
      </c>
      <c r="D157" t="s">
        <v>22</v>
      </c>
      <c r="E157" t="s">
        <v>18</v>
      </c>
      <c r="F157" t="s">
        <v>443</v>
      </c>
    </row>
    <row r="158" spans="1:6" x14ac:dyDescent="0.3">
      <c r="A158" t="str">
        <f>HYPERLINK("https://hsdes.intel.com/resource/14013157052","14013157052")</f>
        <v>14013157052</v>
      </c>
      <c r="B158" t="s">
        <v>444</v>
      </c>
      <c r="C158" t="s">
        <v>445</v>
      </c>
      <c r="D158" t="s">
        <v>22</v>
      </c>
      <c r="E158" t="s">
        <v>18</v>
      </c>
      <c r="F158" t="s">
        <v>71</v>
      </c>
    </row>
    <row r="159" spans="1:6" x14ac:dyDescent="0.3">
      <c r="A159" t="str">
        <f>HYPERLINK("https://hsdes.intel.com/resource/14013157055","14013157055")</f>
        <v>14013157055</v>
      </c>
      <c r="B159" t="s">
        <v>446</v>
      </c>
      <c r="C159" t="s">
        <v>447</v>
      </c>
      <c r="D159" t="s">
        <v>22</v>
      </c>
      <c r="E159" t="s">
        <v>18</v>
      </c>
      <c r="F159" t="s">
        <v>312</v>
      </c>
    </row>
    <row r="160" spans="1:6" x14ac:dyDescent="0.3">
      <c r="A160" t="str">
        <f>HYPERLINK("https://hsdes.intel.com/resource/14013157075","14013157075")</f>
        <v>14013157075</v>
      </c>
      <c r="B160" t="s">
        <v>448</v>
      </c>
      <c r="C160" t="s">
        <v>449</v>
      </c>
      <c r="D160" t="s">
        <v>22</v>
      </c>
      <c r="E160" t="s">
        <v>18</v>
      </c>
      <c r="F160" t="s">
        <v>26</v>
      </c>
    </row>
    <row r="161" spans="1:6" x14ac:dyDescent="0.3">
      <c r="A161" t="str">
        <f>HYPERLINK("https://hsdes.intel.com/resource/14013157081","14013157081")</f>
        <v>14013157081</v>
      </c>
      <c r="B161" t="s">
        <v>450</v>
      </c>
      <c r="C161" t="s">
        <v>451</v>
      </c>
      <c r="D161" t="s">
        <v>17</v>
      </c>
      <c r="E161" t="s">
        <v>30</v>
      </c>
      <c r="F161" t="s">
        <v>412</v>
      </c>
    </row>
    <row r="162" spans="1:6" x14ac:dyDescent="0.3">
      <c r="A162" t="str">
        <f>HYPERLINK("https://hsdes.intel.com/resource/14013157085","14013157085")</f>
        <v>14013157085</v>
      </c>
      <c r="B162" t="s">
        <v>452</v>
      </c>
      <c r="C162" t="s">
        <v>453</v>
      </c>
      <c r="D162" t="s">
        <v>22</v>
      </c>
      <c r="E162" t="s">
        <v>18</v>
      </c>
      <c r="F162" t="s">
        <v>26</v>
      </c>
    </row>
    <row r="163" spans="1:6" x14ac:dyDescent="0.3">
      <c r="A163" t="str">
        <f>HYPERLINK("https://hsdes.intel.com/resource/14013157103","14013157103")</f>
        <v>14013157103</v>
      </c>
      <c r="B163" t="s">
        <v>454</v>
      </c>
      <c r="C163" t="s">
        <v>455</v>
      </c>
      <c r="D163" t="s">
        <v>6</v>
      </c>
      <c r="E163" t="s">
        <v>18</v>
      </c>
      <c r="F163" t="s">
        <v>8</v>
      </c>
    </row>
    <row r="164" spans="1:6" x14ac:dyDescent="0.3">
      <c r="A164" t="str">
        <f>HYPERLINK("https://hsdes.intel.com/resource/14013157109","14013157109")</f>
        <v>14013157109</v>
      </c>
      <c r="B164" t="s">
        <v>456</v>
      </c>
      <c r="C164" t="s">
        <v>457</v>
      </c>
      <c r="D164" t="s">
        <v>6</v>
      </c>
      <c r="E164" t="s">
        <v>18</v>
      </c>
      <c r="F164" t="s">
        <v>8</v>
      </c>
    </row>
    <row r="165" spans="1:6" x14ac:dyDescent="0.3">
      <c r="A165" t="str">
        <f>HYPERLINK("https://hsdes.intel.com/resource/14013157151","14013157151")</f>
        <v>14013157151</v>
      </c>
      <c r="B165" t="s">
        <v>458</v>
      </c>
      <c r="C165" t="s">
        <v>459</v>
      </c>
      <c r="D165" t="s">
        <v>22</v>
      </c>
      <c r="E165" t="s">
        <v>18</v>
      </c>
      <c r="F165" t="s">
        <v>71</v>
      </c>
    </row>
    <row r="166" spans="1:6" x14ac:dyDescent="0.3">
      <c r="A166" t="str">
        <f>HYPERLINK("https://hsdes.intel.com/resource/14013157153","14013157153")</f>
        <v>14013157153</v>
      </c>
      <c r="B166" t="s">
        <v>460</v>
      </c>
      <c r="C166" t="s">
        <v>461</v>
      </c>
      <c r="D166" t="s">
        <v>22</v>
      </c>
      <c r="E166" t="s">
        <v>18</v>
      </c>
      <c r="F166" t="s">
        <v>71</v>
      </c>
    </row>
    <row r="167" spans="1:6" x14ac:dyDescent="0.3">
      <c r="A167" t="str">
        <f>HYPERLINK("https://hsdes.intel.com/resource/14013157179","14013157179")</f>
        <v>14013157179</v>
      </c>
      <c r="B167" t="s">
        <v>462</v>
      </c>
      <c r="C167" t="s">
        <v>463</v>
      </c>
      <c r="D167" t="s">
        <v>22</v>
      </c>
      <c r="E167" t="s">
        <v>18</v>
      </c>
      <c r="F167" t="s">
        <v>464</v>
      </c>
    </row>
    <row r="168" spans="1:6" x14ac:dyDescent="0.3">
      <c r="A168" t="str">
        <f>HYPERLINK("https://hsdes.intel.com/resource/14013157181","14013157181")</f>
        <v>14013157181</v>
      </c>
      <c r="B168" t="s">
        <v>465</v>
      </c>
      <c r="C168" t="s">
        <v>466</v>
      </c>
      <c r="D168" t="s">
        <v>22</v>
      </c>
      <c r="E168" t="s">
        <v>18</v>
      </c>
      <c r="F168" t="s">
        <v>467</v>
      </c>
    </row>
    <row r="169" spans="1:6" x14ac:dyDescent="0.3">
      <c r="A169" t="str">
        <f>HYPERLINK("https://hsdes.intel.com/resource/14013157188","14013157188")</f>
        <v>14013157188</v>
      </c>
      <c r="B169" t="s">
        <v>468</v>
      </c>
      <c r="C169" t="s">
        <v>469</v>
      </c>
      <c r="D169" t="s">
        <v>142</v>
      </c>
      <c r="E169" t="s">
        <v>63</v>
      </c>
      <c r="F169" t="s">
        <v>470</v>
      </c>
    </row>
    <row r="170" spans="1:6" x14ac:dyDescent="0.3">
      <c r="A170" t="str">
        <f>HYPERLINK("https://hsdes.intel.com/resource/14013157216","14013157216")</f>
        <v>14013157216</v>
      </c>
      <c r="B170" t="s">
        <v>471</v>
      </c>
      <c r="C170" t="s">
        <v>472</v>
      </c>
      <c r="D170" t="s">
        <v>6</v>
      </c>
      <c r="E170" t="s">
        <v>18</v>
      </c>
      <c r="F170" t="s">
        <v>8</v>
      </c>
    </row>
    <row r="171" spans="1:6" x14ac:dyDescent="0.3">
      <c r="A171" t="str">
        <f>HYPERLINK("https://hsdes.intel.com/resource/14013157222","14013157222")</f>
        <v>14013157222</v>
      </c>
      <c r="B171" t="s">
        <v>473</v>
      </c>
      <c r="C171" t="s">
        <v>474</v>
      </c>
      <c r="D171" t="s">
        <v>6</v>
      </c>
      <c r="E171" t="s">
        <v>30</v>
      </c>
      <c r="F171" t="s">
        <v>8</v>
      </c>
    </row>
    <row r="172" spans="1:6" x14ac:dyDescent="0.3">
      <c r="A172" t="str">
        <f>HYPERLINK("https://hsdes.intel.com/resource/14013157232","14013157232")</f>
        <v>14013157232</v>
      </c>
      <c r="B172" t="s">
        <v>475</v>
      </c>
      <c r="C172" t="s">
        <v>476</v>
      </c>
      <c r="D172" t="s">
        <v>6</v>
      </c>
      <c r="E172" t="s">
        <v>30</v>
      </c>
      <c r="F172" t="s">
        <v>8</v>
      </c>
    </row>
    <row r="173" spans="1:6" x14ac:dyDescent="0.3">
      <c r="A173" t="str">
        <f>HYPERLINK("https://hsdes.intel.com/resource/14013157235","14013157235")</f>
        <v>14013157235</v>
      </c>
      <c r="B173" t="s">
        <v>477</v>
      </c>
      <c r="C173" t="s">
        <v>478</v>
      </c>
      <c r="D173" t="s">
        <v>22</v>
      </c>
      <c r="E173" t="s">
        <v>18</v>
      </c>
      <c r="F173" t="s">
        <v>479</v>
      </c>
    </row>
    <row r="174" spans="1:6" x14ac:dyDescent="0.3">
      <c r="A174" t="str">
        <f>HYPERLINK("https://hsdes.intel.com/resource/14013157237","14013157237")</f>
        <v>14013157237</v>
      </c>
      <c r="B174" t="s">
        <v>480</v>
      </c>
      <c r="C174" t="s">
        <v>481</v>
      </c>
      <c r="D174" t="s">
        <v>62</v>
      </c>
      <c r="E174" t="s">
        <v>172</v>
      </c>
      <c r="F174" t="s">
        <v>482</v>
      </c>
    </row>
    <row r="175" spans="1:6" x14ac:dyDescent="0.3">
      <c r="A175" t="str">
        <f>HYPERLINK("https://hsdes.intel.com/resource/14013157239","14013157239")</f>
        <v>14013157239</v>
      </c>
      <c r="B175" t="s">
        <v>483</v>
      </c>
      <c r="C175" t="s">
        <v>484</v>
      </c>
      <c r="D175" t="s">
        <v>22</v>
      </c>
      <c r="E175" t="s">
        <v>18</v>
      </c>
      <c r="F175" t="s">
        <v>485</v>
      </c>
    </row>
    <row r="176" spans="1:6" x14ac:dyDescent="0.3">
      <c r="A176" t="str">
        <f>HYPERLINK("https://hsdes.intel.com/resource/14013157253","14013157253")</f>
        <v>14013157253</v>
      </c>
      <c r="B176" t="s">
        <v>486</v>
      </c>
      <c r="C176" t="s">
        <v>487</v>
      </c>
      <c r="D176" t="s">
        <v>22</v>
      </c>
      <c r="E176" t="s">
        <v>18</v>
      </c>
      <c r="F176" t="s">
        <v>488</v>
      </c>
    </row>
    <row r="177" spans="1:6" x14ac:dyDescent="0.3">
      <c r="A177" t="str">
        <f>HYPERLINK("https://hsdes.intel.com/resource/14013157256","14013157256")</f>
        <v>14013157256</v>
      </c>
      <c r="B177" t="s">
        <v>489</v>
      </c>
      <c r="C177" t="s">
        <v>490</v>
      </c>
      <c r="D177" t="s">
        <v>6</v>
      </c>
      <c r="E177" t="s">
        <v>18</v>
      </c>
      <c r="F177" t="s">
        <v>8</v>
      </c>
    </row>
    <row r="178" spans="1:6" x14ac:dyDescent="0.3">
      <c r="A178" t="str">
        <f>HYPERLINK("https://hsdes.intel.com/resource/14013157270","14013157270")</f>
        <v>14013157270</v>
      </c>
      <c r="B178" t="s">
        <v>491</v>
      </c>
      <c r="C178" t="s">
        <v>492</v>
      </c>
      <c r="D178" t="s">
        <v>17</v>
      </c>
      <c r="E178" t="s">
        <v>30</v>
      </c>
      <c r="F178" t="s">
        <v>493</v>
      </c>
    </row>
    <row r="179" spans="1:6" x14ac:dyDescent="0.3">
      <c r="A179" t="str">
        <f>HYPERLINK("https://hsdes.intel.com/resource/14013157276","14013157276")</f>
        <v>14013157276</v>
      </c>
      <c r="B179" t="s">
        <v>494</v>
      </c>
      <c r="C179" t="s">
        <v>495</v>
      </c>
      <c r="D179" t="s">
        <v>6</v>
      </c>
      <c r="E179" t="s">
        <v>18</v>
      </c>
      <c r="F179" t="s">
        <v>8</v>
      </c>
    </row>
    <row r="180" spans="1:6" x14ac:dyDescent="0.3">
      <c r="A180" t="str">
        <f>HYPERLINK("https://hsdes.intel.com/resource/14013157278","14013157278")</f>
        <v>14013157278</v>
      </c>
      <c r="B180" t="s">
        <v>496</v>
      </c>
      <c r="C180" t="s">
        <v>497</v>
      </c>
      <c r="D180" t="s">
        <v>6</v>
      </c>
      <c r="E180" t="s">
        <v>30</v>
      </c>
      <c r="F180" t="s">
        <v>498</v>
      </c>
    </row>
    <row r="181" spans="1:6" x14ac:dyDescent="0.3">
      <c r="A181" t="str">
        <f>HYPERLINK("https://hsdes.intel.com/resource/14013157287","14013157287")</f>
        <v>14013157287</v>
      </c>
      <c r="B181" t="s">
        <v>499</v>
      </c>
      <c r="C181" t="s">
        <v>500</v>
      </c>
      <c r="D181" t="s">
        <v>22</v>
      </c>
      <c r="E181" t="s">
        <v>18</v>
      </c>
      <c r="F181" t="s">
        <v>479</v>
      </c>
    </row>
    <row r="182" spans="1:6" x14ac:dyDescent="0.3">
      <c r="A182" t="str">
        <f>HYPERLINK("https://hsdes.intel.com/resource/14013157290","14013157290")</f>
        <v>14013157290</v>
      </c>
      <c r="B182" t="s">
        <v>501</v>
      </c>
      <c r="C182" t="s">
        <v>502</v>
      </c>
      <c r="D182" t="s">
        <v>6</v>
      </c>
      <c r="E182" t="s">
        <v>18</v>
      </c>
      <c r="F182" t="s">
        <v>503</v>
      </c>
    </row>
    <row r="183" spans="1:6" x14ac:dyDescent="0.3">
      <c r="A183" t="str">
        <f>HYPERLINK("https://hsdes.intel.com/resource/14013157294","14013157294")</f>
        <v>14013157294</v>
      </c>
      <c r="B183" t="s">
        <v>504</v>
      </c>
      <c r="C183" t="s">
        <v>505</v>
      </c>
      <c r="D183" t="s">
        <v>17</v>
      </c>
      <c r="E183" t="s">
        <v>18</v>
      </c>
      <c r="F183" t="s">
        <v>506</v>
      </c>
    </row>
    <row r="184" spans="1:6" x14ac:dyDescent="0.3">
      <c r="A184" t="str">
        <f>HYPERLINK("https://hsdes.intel.com/resource/14013157299","14013157299")</f>
        <v>14013157299</v>
      </c>
      <c r="B184" t="s">
        <v>507</v>
      </c>
      <c r="C184" t="s">
        <v>508</v>
      </c>
      <c r="D184" t="s">
        <v>17</v>
      </c>
      <c r="E184" t="s">
        <v>18</v>
      </c>
      <c r="F184" t="s">
        <v>509</v>
      </c>
    </row>
    <row r="185" spans="1:6" x14ac:dyDescent="0.3">
      <c r="A185" t="str">
        <f>HYPERLINK("https://hsdes.intel.com/resource/14013157301","14013157301")</f>
        <v>14013157301</v>
      </c>
      <c r="B185" t="s">
        <v>510</v>
      </c>
      <c r="C185" t="s">
        <v>511</v>
      </c>
      <c r="D185" t="s">
        <v>22</v>
      </c>
      <c r="E185" t="s">
        <v>30</v>
      </c>
      <c r="F185" t="s">
        <v>512</v>
      </c>
    </row>
    <row r="186" spans="1:6" x14ac:dyDescent="0.3">
      <c r="A186" t="str">
        <f>HYPERLINK("https://hsdes.intel.com/resource/14013157313","14013157313")</f>
        <v>14013157313</v>
      </c>
      <c r="B186" t="s">
        <v>513</v>
      </c>
      <c r="C186" t="s">
        <v>514</v>
      </c>
      <c r="D186" t="s">
        <v>22</v>
      </c>
      <c r="E186" t="s">
        <v>18</v>
      </c>
      <c r="F186" t="s">
        <v>515</v>
      </c>
    </row>
    <row r="187" spans="1:6" x14ac:dyDescent="0.3">
      <c r="A187" t="str">
        <f>HYPERLINK("https://hsdes.intel.com/resource/14013157315","14013157315")</f>
        <v>14013157315</v>
      </c>
      <c r="B187" t="s">
        <v>516</v>
      </c>
      <c r="C187" t="s">
        <v>517</v>
      </c>
      <c r="D187" t="s">
        <v>22</v>
      </c>
      <c r="E187" t="s">
        <v>30</v>
      </c>
      <c r="F187" t="s">
        <v>518</v>
      </c>
    </row>
    <row r="188" spans="1:6" x14ac:dyDescent="0.3">
      <c r="A188" t="str">
        <f>HYPERLINK("https://hsdes.intel.com/resource/14013157319","14013157319")</f>
        <v>14013157319</v>
      </c>
      <c r="B188" t="s">
        <v>519</v>
      </c>
      <c r="C188" t="s">
        <v>520</v>
      </c>
      <c r="D188" t="s">
        <v>22</v>
      </c>
      <c r="E188" t="s">
        <v>30</v>
      </c>
      <c r="F188" t="s">
        <v>521</v>
      </c>
    </row>
    <row r="189" spans="1:6" x14ac:dyDescent="0.3">
      <c r="A189" t="str">
        <f>HYPERLINK("https://hsdes.intel.com/resource/14013157332","14013157332")</f>
        <v>14013157332</v>
      </c>
      <c r="B189" t="s">
        <v>522</v>
      </c>
      <c r="C189" t="s">
        <v>523</v>
      </c>
      <c r="D189" t="s">
        <v>22</v>
      </c>
      <c r="E189" t="s">
        <v>18</v>
      </c>
      <c r="F189" t="s">
        <v>464</v>
      </c>
    </row>
    <row r="190" spans="1:6" x14ac:dyDescent="0.3">
      <c r="A190" t="str">
        <f>HYPERLINK("https://hsdes.intel.com/resource/14013157335","14013157335")</f>
        <v>14013157335</v>
      </c>
      <c r="B190" t="s">
        <v>524</v>
      </c>
      <c r="C190" t="s">
        <v>525</v>
      </c>
      <c r="D190" t="s">
        <v>6</v>
      </c>
      <c r="E190" t="s">
        <v>18</v>
      </c>
      <c r="F190" t="s">
        <v>8</v>
      </c>
    </row>
    <row r="191" spans="1:6" x14ac:dyDescent="0.3">
      <c r="A191" t="str">
        <f>HYPERLINK("https://hsdes.intel.com/resource/14013157343","14013157343")</f>
        <v>14013157343</v>
      </c>
      <c r="B191" t="s">
        <v>526</v>
      </c>
      <c r="C191" t="s">
        <v>527</v>
      </c>
      <c r="D191" t="s">
        <v>22</v>
      </c>
      <c r="E191" t="s">
        <v>18</v>
      </c>
      <c r="F191" t="s">
        <v>528</v>
      </c>
    </row>
    <row r="192" spans="1:6" x14ac:dyDescent="0.3">
      <c r="A192" t="str">
        <f>HYPERLINK("https://hsdes.intel.com/resource/14013157345","14013157345")</f>
        <v>14013157345</v>
      </c>
      <c r="B192" t="s">
        <v>529</v>
      </c>
      <c r="C192" t="s">
        <v>530</v>
      </c>
      <c r="D192" t="s">
        <v>22</v>
      </c>
      <c r="E192" t="s">
        <v>30</v>
      </c>
      <c r="F192" t="s">
        <v>531</v>
      </c>
    </row>
    <row r="193" spans="1:6" x14ac:dyDescent="0.3">
      <c r="A193" t="str">
        <f>HYPERLINK("https://hsdes.intel.com/resource/14013157347","14013157347")</f>
        <v>14013157347</v>
      </c>
      <c r="B193" t="s">
        <v>532</v>
      </c>
      <c r="C193" t="s">
        <v>533</v>
      </c>
      <c r="D193" t="s">
        <v>22</v>
      </c>
      <c r="E193" t="s">
        <v>18</v>
      </c>
      <c r="F193" t="s">
        <v>534</v>
      </c>
    </row>
    <row r="194" spans="1:6" x14ac:dyDescent="0.3">
      <c r="A194" t="str">
        <f>HYPERLINK("https://hsdes.intel.com/resource/14013157360","14013157360")</f>
        <v>14013157360</v>
      </c>
      <c r="B194" t="s">
        <v>535</v>
      </c>
      <c r="C194" t="s">
        <v>536</v>
      </c>
      <c r="D194" t="s">
        <v>22</v>
      </c>
      <c r="E194" t="s">
        <v>18</v>
      </c>
      <c r="F194" t="s">
        <v>537</v>
      </c>
    </row>
    <row r="195" spans="1:6" x14ac:dyDescent="0.3">
      <c r="A195" t="str">
        <f>HYPERLINK("https://hsdes.intel.com/resource/14013157372","14013157372")</f>
        <v>14013157372</v>
      </c>
      <c r="B195" t="s">
        <v>538</v>
      </c>
      <c r="C195" t="s">
        <v>539</v>
      </c>
      <c r="D195" t="s">
        <v>22</v>
      </c>
      <c r="E195" t="s">
        <v>18</v>
      </c>
      <c r="F195" t="s">
        <v>540</v>
      </c>
    </row>
    <row r="196" spans="1:6" x14ac:dyDescent="0.3">
      <c r="A196" t="str">
        <f>HYPERLINK("https://hsdes.intel.com/resource/14013157378","14013157378")</f>
        <v>14013157378</v>
      </c>
      <c r="B196" t="s">
        <v>541</v>
      </c>
      <c r="C196" t="s">
        <v>542</v>
      </c>
      <c r="D196" t="s">
        <v>22</v>
      </c>
      <c r="E196" t="s">
        <v>18</v>
      </c>
      <c r="F196" t="s">
        <v>543</v>
      </c>
    </row>
    <row r="197" spans="1:6" x14ac:dyDescent="0.3">
      <c r="A197" t="str">
        <f>HYPERLINK("https://hsdes.intel.com/resource/14013157437","14013157437")</f>
        <v>14013157437</v>
      </c>
      <c r="B197" t="s">
        <v>544</v>
      </c>
      <c r="C197" t="s">
        <v>545</v>
      </c>
      <c r="D197" t="s">
        <v>22</v>
      </c>
      <c r="E197" t="s">
        <v>30</v>
      </c>
      <c r="F197" t="s">
        <v>512</v>
      </c>
    </row>
    <row r="198" spans="1:6" x14ac:dyDescent="0.3">
      <c r="A198" t="str">
        <f>HYPERLINK("https://hsdes.intel.com/resource/14013157449","14013157449")</f>
        <v>14013157449</v>
      </c>
      <c r="B198" t="s">
        <v>546</v>
      </c>
      <c r="C198" t="s">
        <v>547</v>
      </c>
      <c r="D198" t="s">
        <v>6</v>
      </c>
      <c r="E198" t="s">
        <v>30</v>
      </c>
      <c r="F198" t="s">
        <v>8</v>
      </c>
    </row>
    <row r="199" spans="1:6" x14ac:dyDescent="0.3">
      <c r="A199" t="str">
        <f>HYPERLINK("https://hsdes.intel.com/resource/14013157450","14013157450")</f>
        <v>14013157450</v>
      </c>
      <c r="B199" t="s">
        <v>548</v>
      </c>
      <c r="C199" t="s">
        <v>549</v>
      </c>
      <c r="D199" t="s">
        <v>6</v>
      </c>
      <c r="E199" t="s">
        <v>30</v>
      </c>
      <c r="F199" t="s">
        <v>8</v>
      </c>
    </row>
    <row r="200" spans="1:6" x14ac:dyDescent="0.3">
      <c r="A200" t="str">
        <f>HYPERLINK("https://hsdes.intel.com/resource/14013157452","14013157452")</f>
        <v>14013157452</v>
      </c>
      <c r="B200" t="s">
        <v>550</v>
      </c>
      <c r="C200" t="s">
        <v>551</v>
      </c>
      <c r="D200" t="s">
        <v>6</v>
      </c>
      <c r="E200" t="s">
        <v>30</v>
      </c>
      <c r="F200" t="s">
        <v>8</v>
      </c>
    </row>
    <row r="201" spans="1:6" x14ac:dyDescent="0.3">
      <c r="A201" t="str">
        <f>HYPERLINK("https://hsdes.intel.com/resource/14013157454","14013157454")</f>
        <v>14013157454</v>
      </c>
      <c r="B201" t="s">
        <v>552</v>
      </c>
      <c r="C201" t="s">
        <v>553</v>
      </c>
      <c r="D201" t="s">
        <v>6</v>
      </c>
      <c r="E201" t="s">
        <v>18</v>
      </c>
      <c r="F201" t="s">
        <v>324</v>
      </c>
    </row>
    <row r="202" spans="1:6" x14ac:dyDescent="0.3">
      <c r="A202" t="str">
        <f>HYPERLINK("https://hsdes.intel.com/resource/14013157474","14013157474")</f>
        <v>14013157474</v>
      </c>
      <c r="B202" t="s">
        <v>554</v>
      </c>
      <c r="C202" t="s">
        <v>555</v>
      </c>
      <c r="D202" t="s">
        <v>22</v>
      </c>
      <c r="E202" t="s">
        <v>18</v>
      </c>
      <c r="F202" t="s">
        <v>556</v>
      </c>
    </row>
    <row r="203" spans="1:6" x14ac:dyDescent="0.3">
      <c r="A203" t="str">
        <f>HYPERLINK("https://hsdes.intel.com/resource/14013157476","14013157476")</f>
        <v>14013157476</v>
      </c>
      <c r="B203" t="s">
        <v>557</v>
      </c>
      <c r="C203" t="s">
        <v>558</v>
      </c>
      <c r="D203" t="s">
        <v>22</v>
      </c>
      <c r="E203" t="s">
        <v>18</v>
      </c>
      <c r="F203" t="s">
        <v>559</v>
      </c>
    </row>
    <row r="204" spans="1:6" x14ac:dyDescent="0.3">
      <c r="A204" t="str">
        <f>HYPERLINK("https://hsdes.intel.com/resource/14013157506","14013157506")</f>
        <v>14013157506</v>
      </c>
      <c r="B204" t="s">
        <v>560</v>
      </c>
      <c r="C204" t="s">
        <v>561</v>
      </c>
      <c r="D204" t="s">
        <v>22</v>
      </c>
      <c r="E204" t="s">
        <v>18</v>
      </c>
      <c r="F204" t="s">
        <v>562</v>
      </c>
    </row>
    <row r="205" spans="1:6" x14ac:dyDescent="0.3">
      <c r="A205" t="str">
        <f>HYPERLINK("https://hsdes.intel.com/resource/14013157514","14013157514")</f>
        <v>14013157514</v>
      </c>
      <c r="B205" t="s">
        <v>563</v>
      </c>
      <c r="C205" t="s">
        <v>564</v>
      </c>
      <c r="D205" t="s">
        <v>22</v>
      </c>
      <c r="E205" t="s">
        <v>18</v>
      </c>
      <c r="F205" t="s">
        <v>565</v>
      </c>
    </row>
    <row r="206" spans="1:6" x14ac:dyDescent="0.3">
      <c r="A206" t="str">
        <f>HYPERLINK("https://hsdes.intel.com/resource/14013157520","14013157520")</f>
        <v>14013157520</v>
      </c>
      <c r="B206" t="s">
        <v>566</v>
      </c>
      <c r="C206" t="s">
        <v>567</v>
      </c>
      <c r="D206" t="s">
        <v>22</v>
      </c>
      <c r="E206" t="s">
        <v>18</v>
      </c>
      <c r="F206" t="s">
        <v>568</v>
      </c>
    </row>
    <row r="207" spans="1:6" x14ac:dyDescent="0.3">
      <c r="A207" t="str">
        <f>HYPERLINK("https://hsdes.intel.com/resource/14013157529","14013157529")</f>
        <v>14013157529</v>
      </c>
      <c r="B207" t="s">
        <v>569</v>
      </c>
      <c r="C207" t="s">
        <v>570</v>
      </c>
      <c r="D207" t="s">
        <v>22</v>
      </c>
      <c r="E207" t="s">
        <v>172</v>
      </c>
      <c r="F207" t="s">
        <v>571</v>
      </c>
    </row>
    <row r="208" spans="1:6" x14ac:dyDescent="0.3">
      <c r="A208" t="str">
        <f>HYPERLINK("https://hsdes.intel.com/resource/14013157531","14013157531")</f>
        <v>14013157531</v>
      </c>
      <c r="B208" t="s">
        <v>572</v>
      </c>
      <c r="C208" t="s">
        <v>573</v>
      </c>
      <c r="D208" t="s">
        <v>22</v>
      </c>
      <c r="E208" t="s">
        <v>30</v>
      </c>
      <c r="F208" t="s">
        <v>574</v>
      </c>
    </row>
    <row r="209" spans="1:6" x14ac:dyDescent="0.3">
      <c r="A209" t="str">
        <f>HYPERLINK("https://hsdes.intel.com/resource/14013157558","14013157558")</f>
        <v>14013157558</v>
      </c>
      <c r="B209" t="s">
        <v>575</v>
      </c>
      <c r="C209" t="s">
        <v>576</v>
      </c>
      <c r="D209" t="s">
        <v>6</v>
      </c>
      <c r="E209" t="s">
        <v>30</v>
      </c>
      <c r="F209" t="s">
        <v>577</v>
      </c>
    </row>
    <row r="210" spans="1:6" x14ac:dyDescent="0.3">
      <c r="A210" t="str">
        <f>HYPERLINK("https://hsdes.intel.com/resource/14013157562","14013157562")</f>
        <v>14013157562</v>
      </c>
      <c r="B210" t="s">
        <v>578</v>
      </c>
      <c r="C210" t="s">
        <v>579</v>
      </c>
      <c r="D210" t="s">
        <v>22</v>
      </c>
      <c r="E210" t="s">
        <v>18</v>
      </c>
      <c r="F210" t="s">
        <v>239</v>
      </c>
    </row>
    <row r="211" spans="1:6" x14ac:dyDescent="0.3">
      <c r="A211" t="str">
        <f>HYPERLINK("https://hsdes.intel.com/resource/14013157573","14013157573")</f>
        <v>14013157573</v>
      </c>
      <c r="B211" t="s">
        <v>580</v>
      </c>
      <c r="C211" t="s">
        <v>581</v>
      </c>
      <c r="D211" t="s">
        <v>22</v>
      </c>
      <c r="E211" t="s">
        <v>18</v>
      </c>
      <c r="F211" t="s">
        <v>582</v>
      </c>
    </row>
    <row r="212" spans="1:6" x14ac:dyDescent="0.3">
      <c r="A212" t="str">
        <f>HYPERLINK("https://hsdes.intel.com/resource/14013157584","14013157584")</f>
        <v>14013157584</v>
      </c>
      <c r="B212" t="s">
        <v>583</v>
      </c>
      <c r="C212" t="s">
        <v>584</v>
      </c>
      <c r="D212" t="s">
        <v>17</v>
      </c>
      <c r="E212" t="s">
        <v>18</v>
      </c>
      <c r="F212" t="s">
        <v>585</v>
      </c>
    </row>
    <row r="213" spans="1:6" x14ac:dyDescent="0.3">
      <c r="A213" t="str">
        <f>HYPERLINK("https://hsdes.intel.com/resource/14013157619","14013157619")</f>
        <v>14013157619</v>
      </c>
      <c r="B213" t="s">
        <v>586</v>
      </c>
      <c r="C213" t="s">
        <v>587</v>
      </c>
      <c r="D213" t="s">
        <v>17</v>
      </c>
      <c r="E213" t="s">
        <v>18</v>
      </c>
      <c r="F213" t="s">
        <v>588</v>
      </c>
    </row>
    <row r="214" spans="1:6" x14ac:dyDescent="0.3">
      <c r="A214" t="str">
        <f>HYPERLINK("https://hsdes.intel.com/resource/14013157627","14013157627")</f>
        <v>14013157627</v>
      </c>
      <c r="B214" t="s">
        <v>589</v>
      </c>
      <c r="C214" t="s">
        <v>590</v>
      </c>
      <c r="D214" t="s">
        <v>22</v>
      </c>
      <c r="E214" t="s">
        <v>18</v>
      </c>
      <c r="F214" t="s">
        <v>591</v>
      </c>
    </row>
    <row r="215" spans="1:6" x14ac:dyDescent="0.3">
      <c r="A215" t="str">
        <f>HYPERLINK("https://hsdes.intel.com/resource/14013157652","14013157652")</f>
        <v>14013157652</v>
      </c>
      <c r="B215" t="s">
        <v>592</v>
      </c>
      <c r="C215" t="s">
        <v>593</v>
      </c>
      <c r="D215" t="s">
        <v>17</v>
      </c>
      <c r="E215" t="s">
        <v>18</v>
      </c>
      <c r="F215" t="s">
        <v>594</v>
      </c>
    </row>
    <row r="216" spans="1:6" x14ac:dyDescent="0.3">
      <c r="A216" t="str">
        <f>HYPERLINK("https://hsdes.intel.com/resource/14013157670","14013157670")</f>
        <v>14013157670</v>
      </c>
      <c r="B216" t="s">
        <v>595</v>
      </c>
      <c r="C216" t="s">
        <v>596</v>
      </c>
      <c r="D216" t="s">
        <v>17</v>
      </c>
      <c r="E216" t="s">
        <v>30</v>
      </c>
      <c r="F216" t="s">
        <v>594</v>
      </c>
    </row>
    <row r="217" spans="1:6" x14ac:dyDescent="0.3">
      <c r="A217" t="str">
        <f>HYPERLINK("https://hsdes.intel.com/resource/14013157672","14013157672")</f>
        <v>14013157672</v>
      </c>
      <c r="B217" t="s">
        <v>597</v>
      </c>
      <c r="C217" t="s">
        <v>598</v>
      </c>
      <c r="D217" t="s">
        <v>22</v>
      </c>
      <c r="E217" t="s">
        <v>18</v>
      </c>
      <c r="F217" t="s">
        <v>599</v>
      </c>
    </row>
    <row r="218" spans="1:6" x14ac:dyDescent="0.3">
      <c r="A218" t="str">
        <f>HYPERLINK("https://hsdes.intel.com/resource/14013157676","14013157676")</f>
        <v>14013157676</v>
      </c>
      <c r="B218" t="s">
        <v>600</v>
      </c>
      <c r="C218" t="s">
        <v>601</v>
      </c>
      <c r="D218" t="s">
        <v>22</v>
      </c>
      <c r="E218" t="s">
        <v>18</v>
      </c>
      <c r="F218" t="s">
        <v>239</v>
      </c>
    </row>
    <row r="219" spans="1:6" x14ac:dyDescent="0.3">
      <c r="A219" t="str">
        <f>HYPERLINK("https://hsdes.intel.com/resource/14013157677","14013157677")</f>
        <v>14013157677</v>
      </c>
      <c r="B219" t="s">
        <v>602</v>
      </c>
      <c r="C219" t="s">
        <v>603</v>
      </c>
      <c r="D219" t="s">
        <v>22</v>
      </c>
      <c r="E219" t="s">
        <v>18</v>
      </c>
      <c r="F219" t="s">
        <v>239</v>
      </c>
    </row>
    <row r="220" spans="1:6" x14ac:dyDescent="0.3">
      <c r="A220" t="str">
        <f>HYPERLINK("https://hsdes.intel.com/resource/14013157684","14013157684")</f>
        <v>14013157684</v>
      </c>
      <c r="B220" t="s">
        <v>604</v>
      </c>
      <c r="C220" t="s">
        <v>605</v>
      </c>
      <c r="D220" t="s">
        <v>22</v>
      </c>
      <c r="E220" t="s">
        <v>18</v>
      </c>
      <c r="F220" t="s">
        <v>239</v>
      </c>
    </row>
    <row r="221" spans="1:6" x14ac:dyDescent="0.3">
      <c r="A221" t="str">
        <f>HYPERLINK("https://hsdes.intel.com/resource/14013157693","14013157693")</f>
        <v>14013157693</v>
      </c>
      <c r="B221" t="s">
        <v>606</v>
      </c>
      <c r="C221" t="s">
        <v>607</v>
      </c>
      <c r="D221" t="s">
        <v>22</v>
      </c>
      <c r="E221" t="s">
        <v>18</v>
      </c>
      <c r="F221" t="s">
        <v>259</v>
      </c>
    </row>
    <row r="222" spans="1:6" x14ac:dyDescent="0.3">
      <c r="A222" t="str">
        <f>HYPERLINK("https://hsdes.intel.com/resource/14013157705","14013157705")</f>
        <v>14013157705</v>
      </c>
      <c r="B222" t="s">
        <v>608</v>
      </c>
      <c r="C222" t="s">
        <v>609</v>
      </c>
      <c r="D222" t="s">
        <v>6</v>
      </c>
      <c r="E222" t="s">
        <v>7</v>
      </c>
      <c r="F222" t="s">
        <v>610</v>
      </c>
    </row>
    <row r="223" spans="1:6" x14ac:dyDescent="0.3">
      <c r="A223" t="str">
        <f>HYPERLINK("https://hsdes.intel.com/resource/14013157715","14013157715")</f>
        <v>14013157715</v>
      </c>
      <c r="B223" t="s">
        <v>611</v>
      </c>
      <c r="C223" t="s">
        <v>612</v>
      </c>
      <c r="D223" t="s">
        <v>22</v>
      </c>
      <c r="E223" t="s">
        <v>18</v>
      </c>
      <c r="F223" t="s">
        <v>259</v>
      </c>
    </row>
    <row r="224" spans="1:6" x14ac:dyDescent="0.3">
      <c r="A224" t="str">
        <f>HYPERLINK("https://hsdes.intel.com/resource/14013157742","14013157742")</f>
        <v>14013157742</v>
      </c>
      <c r="B224" t="s">
        <v>613</v>
      </c>
      <c r="C224" t="s">
        <v>614</v>
      </c>
      <c r="D224" t="s">
        <v>22</v>
      </c>
      <c r="E224" t="s">
        <v>172</v>
      </c>
      <c r="F224" t="s">
        <v>259</v>
      </c>
    </row>
    <row r="225" spans="1:6" x14ac:dyDescent="0.3">
      <c r="A225" t="str">
        <f>HYPERLINK("https://hsdes.intel.com/resource/14013157743","14013157743")</f>
        <v>14013157743</v>
      </c>
      <c r="B225" t="s">
        <v>615</v>
      </c>
      <c r="C225" t="s">
        <v>616</v>
      </c>
      <c r="D225" t="s">
        <v>22</v>
      </c>
      <c r="E225" t="s">
        <v>63</v>
      </c>
      <c r="F225" t="s">
        <v>617</v>
      </c>
    </row>
    <row r="226" spans="1:6" x14ac:dyDescent="0.3">
      <c r="A226" t="str">
        <f>HYPERLINK("https://hsdes.intel.com/resource/14013157749","14013157749")</f>
        <v>14013157749</v>
      </c>
      <c r="B226" t="s">
        <v>618</v>
      </c>
      <c r="C226" t="s">
        <v>619</v>
      </c>
      <c r="D226" t="s">
        <v>17</v>
      </c>
      <c r="E226" t="s">
        <v>18</v>
      </c>
      <c r="F226" t="s">
        <v>610</v>
      </c>
    </row>
    <row r="227" spans="1:6" x14ac:dyDescent="0.3">
      <c r="A227" t="str">
        <f>HYPERLINK("https://hsdes.intel.com/resource/14013157753","14013157753")</f>
        <v>14013157753</v>
      </c>
      <c r="B227" t="s">
        <v>544</v>
      </c>
      <c r="C227" t="s">
        <v>620</v>
      </c>
      <c r="D227" t="s">
        <v>22</v>
      </c>
      <c r="E227" t="s">
        <v>30</v>
      </c>
      <c r="F227" t="s">
        <v>621</v>
      </c>
    </row>
    <row r="228" spans="1:6" x14ac:dyDescent="0.3">
      <c r="A228" t="str">
        <f>HYPERLINK("https://hsdes.intel.com/resource/14013157781","14013157781")</f>
        <v>14013157781</v>
      </c>
      <c r="B228" t="s">
        <v>622</v>
      </c>
      <c r="C228" t="s">
        <v>623</v>
      </c>
      <c r="D228" t="s">
        <v>142</v>
      </c>
      <c r="E228" t="s">
        <v>63</v>
      </c>
      <c r="F228" t="s">
        <v>610</v>
      </c>
    </row>
    <row r="229" spans="1:6" x14ac:dyDescent="0.3">
      <c r="A229" t="str">
        <f>HYPERLINK("https://hsdes.intel.com/resource/14013157784","14013157784")</f>
        <v>14013157784</v>
      </c>
      <c r="B229" t="s">
        <v>624</v>
      </c>
      <c r="C229" t="s">
        <v>625</v>
      </c>
      <c r="D229" t="s">
        <v>17</v>
      </c>
      <c r="E229" t="s">
        <v>63</v>
      </c>
      <c r="F229" t="s">
        <v>626</v>
      </c>
    </row>
    <row r="230" spans="1:6" x14ac:dyDescent="0.3">
      <c r="A230" t="str">
        <f>HYPERLINK("https://hsdes.intel.com/resource/14013157811","14013157811")</f>
        <v>14013157811</v>
      </c>
      <c r="B230" t="s">
        <v>627</v>
      </c>
      <c r="C230" t="s">
        <v>628</v>
      </c>
      <c r="D230" t="s">
        <v>22</v>
      </c>
      <c r="E230" t="s">
        <v>30</v>
      </c>
      <c r="F230" t="s">
        <v>629</v>
      </c>
    </row>
    <row r="231" spans="1:6" x14ac:dyDescent="0.3">
      <c r="A231" t="str">
        <f>HYPERLINK("https://hsdes.intel.com/resource/14013157817","14013157817")</f>
        <v>14013157817</v>
      </c>
      <c r="B231" t="s">
        <v>630</v>
      </c>
      <c r="C231" t="s">
        <v>631</v>
      </c>
      <c r="D231" t="s">
        <v>22</v>
      </c>
      <c r="E231" t="s">
        <v>30</v>
      </c>
      <c r="F231" t="s">
        <v>632</v>
      </c>
    </row>
    <row r="232" spans="1:6" x14ac:dyDescent="0.3">
      <c r="A232" t="str">
        <f>HYPERLINK("https://hsdes.intel.com/resource/14013157822","14013157822")</f>
        <v>14013157822</v>
      </c>
      <c r="B232" t="s">
        <v>633</v>
      </c>
      <c r="C232" t="s">
        <v>634</v>
      </c>
      <c r="D232" t="s">
        <v>22</v>
      </c>
      <c r="E232" t="s">
        <v>30</v>
      </c>
      <c r="F232" t="s">
        <v>99</v>
      </c>
    </row>
    <row r="233" spans="1:6" x14ac:dyDescent="0.3">
      <c r="A233" t="str">
        <f>HYPERLINK("https://hsdes.intel.com/resource/14013157826","14013157826")</f>
        <v>14013157826</v>
      </c>
      <c r="B233" t="s">
        <v>635</v>
      </c>
      <c r="C233" t="s">
        <v>636</v>
      </c>
      <c r="D233" t="s">
        <v>22</v>
      </c>
      <c r="E233" t="s">
        <v>30</v>
      </c>
      <c r="F233" t="s">
        <v>637</v>
      </c>
    </row>
    <row r="234" spans="1:6" x14ac:dyDescent="0.3">
      <c r="A234" t="str">
        <f>HYPERLINK("https://hsdes.intel.com/resource/14013157922","14013157922")</f>
        <v>14013157922</v>
      </c>
      <c r="B234" t="s">
        <v>638</v>
      </c>
      <c r="C234" t="s">
        <v>639</v>
      </c>
      <c r="D234" t="s">
        <v>22</v>
      </c>
      <c r="E234" t="s">
        <v>30</v>
      </c>
      <c r="F234" t="s">
        <v>640</v>
      </c>
    </row>
    <row r="235" spans="1:6" x14ac:dyDescent="0.3">
      <c r="A235" t="str">
        <f>HYPERLINK("https://hsdes.intel.com/resource/14013157950","14013157950")</f>
        <v>14013157950</v>
      </c>
      <c r="B235" t="s">
        <v>641</v>
      </c>
      <c r="C235" t="s">
        <v>642</v>
      </c>
      <c r="D235" t="s">
        <v>142</v>
      </c>
      <c r="E235" t="s">
        <v>63</v>
      </c>
      <c r="F235" t="s">
        <v>643</v>
      </c>
    </row>
    <row r="236" spans="1:6" x14ac:dyDescent="0.3">
      <c r="A236" t="str">
        <f>HYPERLINK("https://hsdes.intel.com/resource/14013158076","14013158076")</f>
        <v>14013158076</v>
      </c>
      <c r="B236" t="s">
        <v>644</v>
      </c>
      <c r="C236" t="s">
        <v>645</v>
      </c>
      <c r="D236" t="s">
        <v>6</v>
      </c>
      <c r="E236" t="s">
        <v>7</v>
      </c>
      <c r="F236" t="s">
        <v>8</v>
      </c>
    </row>
    <row r="237" spans="1:6" x14ac:dyDescent="0.3">
      <c r="A237" t="str">
        <f>HYPERLINK("https://hsdes.intel.com/resource/14013158089","14013158089")</f>
        <v>14013158089</v>
      </c>
      <c r="B237" t="s">
        <v>646</v>
      </c>
      <c r="C237" t="s">
        <v>647</v>
      </c>
      <c r="D237" t="s">
        <v>6</v>
      </c>
      <c r="E237" t="s">
        <v>648</v>
      </c>
      <c r="F237" t="s">
        <v>649</v>
      </c>
    </row>
    <row r="238" spans="1:6" x14ac:dyDescent="0.3">
      <c r="A238" t="str">
        <f>HYPERLINK("https://hsdes.intel.com/resource/14013158096","14013158096")</f>
        <v>14013158096</v>
      </c>
      <c r="B238" t="s">
        <v>650</v>
      </c>
      <c r="C238" t="s">
        <v>651</v>
      </c>
      <c r="D238" t="s">
        <v>6</v>
      </c>
      <c r="E238" t="s">
        <v>7</v>
      </c>
      <c r="F238" t="s">
        <v>300</v>
      </c>
    </row>
    <row r="239" spans="1:6" x14ac:dyDescent="0.3">
      <c r="A239" t="str">
        <f>HYPERLINK("https://hsdes.intel.com/resource/14013158099","14013158099")</f>
        <v>14013158099</v>
      </c>
      <c r="B239" t="s">
        <v>652</v>
      </c>
      <c r="C239" t="s">
        <v>653</v>
      </c>
      <c r="D239" t="s">
        <v>22</v>
      </c>
      <c r="E239" t="s">
        <v>30</v>
      </c>
      <c r="F239" t="s">
        <v>654</v>
      </c>
    </row>
    <row r="240" spans="1:6" x14ac:dyDescent="0.3">
      <c r="A240" t="str">
        <f>HYPERLINK("https://hsdes.intel.com/resource/14013158101","14013158101")</f>
        <v>14013158101</v>
      </c>
      <c r="B240" t="s">
        <v>655</v>
      </c>
      <c r="C240" t="s">
        <v>656</v>
      </c>
      <c r="D240" t="s">
        <v>22</v>
      </c>
      <c r="E240" t="s">
        <v>30</v>
      </c>
      <c r="F240" t="s">
        <v>654</v>
      </c>
    </row>
    <row r="241" spans="1:6" x14ac:dyDescent="0.3">
      <c r="A241" t="str">
        <f>HYPERLINK("https://hsdes.intel.com/resource/14013158103","14013158103")</f>
        <v>14013158103</v>
      </c>
      <c r="B241" t="s">
        <v>657</v>
      </c>
      <c r="C241" t="s">
        <v>658</v>
      </c>
      <c r="D241" t="s">
        <v>6</v>
      </c>
      <c r="E241" t="s">
        <v>7</v>
      </c>
      <c r="F241" t="s">
        <v>659</v>
      </c>
    </row>
    <row r="242" spans="1:6" x14ac:dyDescent="0.3">
      <c r="A242" t="str">
        <f>HYPERLINK("https://hsdes.intel.com/resource/14013158122","14013158122")</f>
        <v>14013158122</v>
      </c>
      <c r="B242" t="s">
        <v>660</v>
      </c>
      <c r="C242" t="s">
        <v>661</v>
      </c>
      <c r="D242" t="s">
        <v>17</v>
      </c>
      <c r="E242" t="s">
        <v>30</v>
      </c>
      <c r="F242" t="s">
        <v>662</v>
      </c>
    </row>
    <row r="243" spans="1:6" x14ac:dyDescent="0.3">
      <c r="A243" t="str">
        <f>HYPERLINK("https://hsdes.intel.com/resource/14013158128","14013158128")</f>
        <v>14013158128</v>
      </c>
      <c r="B243" t="s">
        <v>663</v>
      </c>
      <c r="C243" t="s">
        <v>664</v>
      </c>
      <c r="D243" t="s">
        <v>22</v>
      </c>
      <c r="E243" t="s">
        <v>30</v>
      </c>
      <c r="F243" t="s">
        <v>50</v>
      </c>
    </row>
    <row r="244" spans="1:6" x14ac:dyDescent="0.3">
      <c r="A244" t="str">
        <f>HYPERLINK("https://hsdes.intel.com/resource/14013158163","14013158163")</f>
        <v>14013158163</v>
      </c>
      <c r="B244" t="s">
        <v>665</v>
      </c>
      <c r="C244" t="s">
        <v>666</v>
      </c>
      <c r="D244" t="s">
        <v>17</v>
      </c>
      <c r="E244" t="s">
        <v>30</v>
      </c>
      <c r="F244" t="s">
        <v>667</v>
      </c>
    </row>
    <row r="245" spans="1:6" x14ac:dyDescent="0.3">
      <c r="A245" t="str">
        <f>HYPERLINK("https://hsdes.intel.com/resource/14013158179","14013158179")</f>
        <v>14013158179</v>
      </c>
      <c r="B245" t="s">
        <v>668</v>
      </c>
      <c r="C245" t="s">
        <v>669</v>
      </c>
      <c r="D245" t="s">
        <v>29</v>
      </c>
      <c r="E245" t="s">
        <v>30</v>
      </c>
      <c r="F245" t="s">
        <v>670</v>
      </c>
    </row>
    <row r="246" spans="1:6" x14ac:dyDescent="0.3">
      <c r="A246" t="str">
        <f>HYPERLINK("https://hsdes.intel.com/resource/14013158182","14013158182")</f>
        <v>14013158182</v>
      </c>
      <c r="B246" t="s">
        <v>671</v>
      </c>
      <c r="C246" t="s">
        <v>672</v>
      </c>
      <c r="D246" t="s">
        <v>29</v>
      </c>
      <c r="E246" t="s">
        <v>30</v>
      </c>
      <c r="F246" t="s">
        <v>26</v>
      </c>
    </row>
    <row r="247" spans="1:6" x14ac:dyDescent="0.3">
      <c r="A247" t="str">
        <f>HYPERLINK("https://hsdes.intel.com/resource/14013158193","14013158193")</f>
        <v>14013158193</v>
      </c>
      <c r="B247" t="s">
        <v>673</v>
      </c>
      <c r="C247" t="s">
        <v>674</v>
      </c>
      <c r="D247" t="s">
        <v>142</v>
      </c>
      <c r="E247" t="s">
        <v>63</v>
      </c>
      <c r="F247" t="s">
        <v>675</v>
      </c>
    </row>
    <row r="248" spans="1:6" x14ac:dyDescent="0.3">
      <c r="A248" t="str">
        <f>HYPERLINK("https://hsdes.intel.com/resource/14013158200","14013158200")</f>
        <v>14013158200</v>
      </c>
      <c r="B248" t="s">
        <v>676</v>
      </c>
      <c r="C248" t="s">
        <v>677</v>
      </c>
      <c r="D248" t="s">
        <v>17</v>
      </c>
      <c r="E248" t="s">
        <v>18</v>
      </c>
      <c r="F248" t="s">
        <v>678</v>
      </c>
    </row>
    <row r="249" spans="1:6" x14ac:dyDescent="0.3">
      <c r="A249" t="str">
        <f>HYPERLINK("https://hsdes.intel.com/resource/14013158232","14013158232")</f>
        <v>14013158232</v>
      </c>
      <c r="B249" t="s">
        <v>679</v>
      </c>
      <c r="C249" t="s">
        <v>680</v>
      </c>
      <c r="D249" t="s">
        <v>62</v>
      </c>
      <c r="E249" t="s">
        <v>30</v>
      </c>
      <c r="F249" t="s">
        <v>681</v>
      </c>
    </row>
    <row r="250" spans="1:6" x14ac:dyDescent="0.3">
      <c r="A250" t="str">
        <f>HYPERLINK("https://hsdes.intel.com/resource/14013158240","14013158240")</f>
        <v>14013158240</v>
      </c>
      <c r="B250" t="s">
        <v>682</v>
      </c>
      <c r="C250" t="s">
        <v>683</v>
      </c>
      <c r="D250" t="s">
        <v>62</v>
      </c>
      <c r="E250" t="s">
        <v>30</v>
      </c>
      <c r="F250" t="s">
        <v>684</v>
      </c>
    </row>
    <row r="251" spans="1:6" x14ac:dyDescent="0.3">
      <c r="A251" t="str">
        <f>HYPERLINK("https://hsdes.intel.com/resource/14013158256","14013158256")</f>
        <v>14013158256</v>
      </c>
      <c r="B251" t="s">
        <v>685</v>
      </c>
      <c r="C251" t="s">
        <v>686</v>
      </c>
      <c r="D251" t="s">
        <v>6</v>
      </c>
      <c r="E251" t="s">
        <v>7</v>
      </c>
      <c r="F251" t="s">
        <v>157</v>
      </c>
    </row>
    <row r="252" spans="1:6" x14ac:dyDescent="0.3">
      <c r="A252" t="str">
        <f>HYPERLINK("https://hsdes.intel.com/resource/14013158276","14013158276")</f>
        <v>14013158276</v>
      </c>
      <c r="B252" t="s">
        <v>687</v>
      </c>
      <c r="C252" t="s">
        <v>688</v>
      </c>
      <c r="D252" t="s">
        <v>98</v>
      </c>
      <c r="E252" t="s">
        <v>30</v>
      </c>
      <c r="F252" t="s">
        <v>19</v>
      </c>
    </row>
    <row r="253" spans="1:6" x14ac:dyDescent="0.3">
      <c r="A253" t="str">
        <f>HYPERLINK("https://hsdes.intel.com/resource/14013158288","14013158288")</f>
        <v>14013158288</v>
      </c>
      <c r="B253" t="s">
        <v>689</v>
      </c>
      <c r="C253" t="s">
        <v>690</v>
      </c>
      <c r="D253" t="s">
        <v>142</v>
      </c>
      <c r="E253" t="s">
        <v>63</v>
      </c>
      <c r="F253" t="s">
        <v>691</v>
      </c>
    </row>
    <row r="254" spans="1:6" x14ac:dyDescent="0.3">
      <c r="A254" t="str">
        <f>HYPERLINK("https://hsdes.intel.com/resource/14013158290","14013158290")</f>
        <v>14013158290</v>
      </c>
      <c r="B254" t="s">
        <v>692</v>
      </c>
      <c r="C254" t="s">
        <v>693</v>
      </c>
      <c r="D254" t="s">
        <v>22</v>
      </c>
      <c r="E254" t="s">
        <v>694</v>
      </c>
      <c r="F254" t="s">
        <v>695</v>
      </c>
    </row>
    <row r="255" spans="1:6" x14ac:dyDescent="0.3">
      <c r="A255" t="str">
        <f>HYPERLINK("https://hsdes.intel.com/resource/14013158293","14013158293")</f>
        <v>14013158293</v>
      </c>
      <c r="B255" t="s">
        <v>696</v>
      </c>
      <c r="C255" t="s">
        <v>697</v>
      </c>
      <c r="D255" t="s">
        <v>29</v>
      </c>
      <c r="E255" t="s">
        <v>30</v>
      </c>
      <c r="F255" t="s">
        <v>698</v>
      </c>
    </row>
    <row r="256" spans="1:6" x14ac:dyDescent="0.3">
      <c r="A256" t="str">
        <f>HYPERLINK("https://hsdes.intel.com/resource/14013158306","14013158306")</f>
        <v>14013158306</v>
      </c>
      <c r="B256" t="s">
        <v>699</v>
      </c>
      <c r="C256" t="s">
        <v>700</v>
      </c>
      <c r="D256" t="s">
        <v>6</v>
      </c>
      <c r="E256" t="s">
        <v>7</v>
      </c>
      <c r="F256" t="s">
        <v>701</v>
      </c>
    </row>
    <row r="257" spans="1:6" x14ac:dyDescent="0.3">
      <c r="A257" t="str">
        <f>HYPERLINK("https://hsdes.intel.com/resource/14013158308","14013158308")</f>
        <v>14013158308</v>
      </c>
      <c r="B257" t="s">
        <v>702</v>
      </c>
      <c r="C257" t="s">
        <v>703</v>
      </c>
      <c r="D257" t="s">
        <v>6</v>
      </c>
      <c r="E257" t="s">
        <v>7</v>
      </c>
      <c r="F257" t="s">
        <v>157</v>
      </c>
    </row>
    <row r="258" spans="1:6" x14ac:dyDescent="0.3">
      <c r="A258" t="str">
        <f>HYPERLINK("https://hsdes.intel.com/resource/14013158313","14013158313")</f>
        <v>14013158313</v>
      </c>
      <c r="B258" t="s">
        <v>704</v>
      </c>
      <c r="C258" t="s">
        <v>705</v>
      </c>
      <c r="D258" t="s">
        <v>6</v>
      </c>
      <c r="E258" t="s">
        <v>648</v>
      </c>
      <c r="F258" t="s">
        <v>706</v>
      </c>
    </row>
    <row r="259" spans="1:6" x14ac:dyDescent="0.3">
      <c r="A259" t="str">
        <f>HYPERLINK("https://hsdes.intel.com/resource/14013158318","14013158318")</f>
        <v>14013158318</v>
      </c>
      <c r="B259" t="s">
        <v>707</v>
      </c>
      <c r="C259" t="s">
        <v>708</v>
      </c>
      <c r="D259" t="s">
        <v>22</v>
      </c>
      <c r="E259" t="s">
        <v>709</v>
      </c>
      <c r="F259" t="s">
        <v>710</v>
      </c>
    </row>
    <row r="260" spans="1:6" x14ac:dyDescent="0.3">
      <c r="A260" t="str">
        <f>HYPERLINK("https://hsdes.intel.com/resource/14013158378","14013158378")</f>
        <v>14013158378</v>
      </c>
      <c r="B260" t="s">
        <v>711</v>
      </c>
      <c r="C260" t="s">
        <v>712</v>
      </c>
      <c r="D260" t="s">
        <v>22</v>
      </c>
      <c r="E260" t="s">
        <v>63</v>
      </c>
      <c r="F260" t="s">
        <v>713</v>
      </c>
    </row>
    <row r="261" spans="1:6" x14ac:dyDescent="0.3">
      <c r="A261" t="str">
        <f>HYPERLINK("https://hsdes.intel.com/resource/14013158384","14013158384")</f>
        <v>14013158384</v>
      </c>
      <c r="B261" t="s">
        <v>714</v>
      </c>
      <c r="C261" t="s">
        <v>715</v>
      </c>
      <c r="D261" t="s">
        <v>17</v>
      </c>
      <c r="E261" t="s">
        <v>18</v>
      </c>
      <c r="F261" t="s">
        <v>716</v>
      </c>
    </row>
    <row r="262" spans="1:6" x14ac:dyDescent="0.3">
      <c r="A262" t="str">
        <f>HYPERLINK("https://hsdes.intel.com/resource/14013158395","14013158395")</f>
        <v>14013158395</v>
      </c>
      <c r="B262" t="s">
        <v>717</v>
      </c>
      <c r="C262" t="s">
        <v>718</v>
      </c>
      <c r="D262" t="s">
        <v>6</v>
      </c>
      <c r="E262" t="s">
        <v>7</v>
      </c>
      <c r="F262" t="s">
        <v>719</v>
      </c>
    </row>
    <row r="263" spans="1:6" x14ac:dyDescent="0.3">
      <c r="A263" t="str">
        <f>HYPERLINK("https://hsdes.intel.com/resource/14013158397","14013158397")</f>
        <v>14013158397</v>
      </c>
      <c r="B263" t="s">
        <v>720</v>
      </c>
      <c r="C263" t="s">
        <v>721</v>
      </c>
      <c r="D263" t="s">
        <v>6</v>
      </c>
      <c r="E263" t="s">
        <v>63</v>
      </c>
      <c r="F263" t="s">
        <v>722</v>
      </c>
    </row>
    <row r="264" spans="1:6" x14ac:dyDescent="0.3">
      <c r="A264" t="str">
        <f>HYPERLINK("https://hsdes.intel.com/resource/14013158406","14013158406")</f>
        <v>14013158406</v>
      </c>
      <c r="B264" t="s">
        <v>723</v>
      </c>
      <c r="C264" t="s">
        <v>724</v>
      </c>
      <c r="D264" t="s">
        <v>22</v>
      </c>
      <c r="E264" t="s">
        <v>30</v>
      </c>
      <c r="F264" t="s">
        <v>725</v>
      </c>
    </row>
    <row r="265" spans="1:6" x14ac:dyDescent="0.3">
      <c r="A265" t="str">
        <f>HYPERLINK("https://hsdes.intel.com/resource/14013158414","14013158414")</f>
        <v>14013158414</v>
      </c>
      <c r="B265" t="s">
        <v>726</v>
      </c>
      <c r="C265" t="s">
        <v>727</v>
      </c>
      <c r="D265" t="s">
        <v>142</v>
      </c>
      <c r="E265" t="s">
        <v>63</v>
      </c>
      <c r="F265" t="s">
        <v>225</v>
      </c>
    </row>
    <row r="266" spans="1:6" x14ac:dyDescent="0.3">
      <c r="A266" t="str">
        <f>HYPERLINK("https://hsdes.intel.com/resource/14013158426","14013158426")</f>
        <v>14013158426</v>
      </c>
      <c r="B266" t="s">
        <v>728</v>
      </c>
      <c r="C266" t="s">
        <v>729</v>
      </c>
      <c r="D266" t="s">
        <v>67</v>
      </c>
      <c r="E266" t="s">
        <v>730</v>
      </c>
      <c r="F266" t="s">
        <v>731</v>
      </c>
    </row>
    <row r="267" spans="1:6" x14ac:dyDescent="0.3">
      <c r="A267" t="str">
        <f>HYPERLINK("https://hsdes.intel.com/resource/14013158435","14013158435")</f>
        <v>14013158435</v>
      </c>
      <c r="B267" t="s">
        <v>732</v>
      </c>
      <c r="C267" t="s">
        <v>733</v>
      </c>
      <c r="D267" t="s">
        <v>22</v>
      </c>
      <c r="E267" t="s">
        <v>80</v>
      </c>
      <c r="F267" t="s">
        <v>734</v>
      </c>
    </row>
    <row r="268" spans="1:6" x14ac:dyDescent="0.3">
      <c r="A268" t="str">
        <f>HYPERLINK("https://hsdes.intel.com/resource/14013158443","14013158443")</f>
        <v>14013158443</v>
      </c>
      <c r="B268" t="s">
        <v>735</v>
      </c>
      <c r="C268" t="s">
        <v>736</v>
      </c>
      <c r="D268" t="s">
        <v>22</v>
      </c>
      <c r="E268" t="s">
        <v>30</v>
      </c>
      <c r="F268" t="s">
        <v>737</v>
      </c>
    </row>
    <row r="269" spans="1:6" x14ac:dyDescent="0.3">
      <c r="A269" t="str">
        <f>HYPERLINK("https://hsdes.intel.com/resource/14013158446","14013158446")</f>
        <v>14013158446</v>
      </c>
      <c r="B269" t="s">
        <v>738</v>
      </c>
      <c r="C269" t="s">
        <v>739</v>
      </c>
      <c r="D269" t="s">
        <v>22</v>
      </c>
      <c r="E269" t="s">
        <v>30</v>
      </c>
      <c r="F269" t="s">
        <v>740</v>
      </c>
    </row>
    <row r="270" spans="1:6" x14ac:dyDescent="0.3">
      <c r="A270" t="str">
        <f>HYPERLINK("https://hsdes.intel.com/resource/14013158464","14013158464")</f>
        <v>14013158464</v>
      </c>
      <c r="B270" t="s">
        <v>741</v>
      </c>
      <c r="C270" t="s">
        <v>742</v>
      </c>
      <c r="D270" t="s">
        <v>98</v>
      </c>
      <c r="E270" t="s">
        <v>30</v>
      </c>
      <c r="F270" t="s">
        <v>157</v>
      </c>
    </row>
    <row r="271" spans="1:6" x14ac:dyDescent="0.3">
      <c r="A271" t="str">
        <f>HYPERLINK("https://hsdes.intel.com/resource/14013158470","14013158470")</f>
        <v>14013158470</v>
      </c>
      <c r="B271" t="s">
        <v>743</v>
      </c>
      <c r="C271" t="s">
        <v>744</v>
      </c>
      <c r="D271" t="s">
        <v>22</v>
      </c>
      <c r="E271" t="s">
        <v>63</v>
      </c>
      <c r="F271" t="s">
        <v>745</v>
      </c>
    </row>
    <row r="272" spans="1:6" x14ac:dyDescent="0.3">
      <c r="A272" t="str">
        <f>HYPERLINK("https://hsdes.intel.com/resource/14013158485","14013158485")</f>
        <v>14013158485</v>
      </c>
      <c r="B272" t="s">
        <v>746</v>
      </c>
      <c r="C272" t="s">
        <v>747</v>
      </c>
      <c r="D272" t="s">
        <v>22</v>
      </c>
      <c r="E272" t="s">
        <v>18</v>
      </c>
      <c r="F272" t="s">
        <v>748</v>
      </c>
    </row>
    <row r="273" spans="1:6" x14ac:dyDescent="0.3">
      <c r="A273" t="str">
        <f>HYPERLINK("https://hsdes.intel.com/resource/14013158498","14013158498")</f>
        <v>14013158498</v>
      </c>
      <c r="B273" t="s">
        <v>749</v>
      </c>
      <c r="C273" t="s">
        <v>750</v>
      </c>
      <c r="D273" t="s">
        <v>17</v>
      </c>
      <c r="E273" t="s">
        <v>30</v>
      </c>
      <c r="F273" t="s">
        <v>751</v>
      </c>
    </row>
    <row r="274" spans="1:6" x14ac:dyDescent="0.3">
      <c r="A274" t="str">
        <f>HYPERLINK("https://hsdes.intel.com/resource/14013158501","14013158501")</f>
        <v>14013158501</v>
      </c>
      <c r="B274" t="s">
        <v>752</v>
      </c>
      <c r="C274" t="s">
        <v>753</v>
      </c>
      <c r="D274" t="s">
        <v>22</v>
      </c>
      <c r="E274" t="s">
        <v>30</v>
      </c>
      <c r="F274" t="s">
        <v>99</v>
      </c>
    </row>
    <row r="275" spans="1:6" x14ac:dyDescent="0.3">
      <c r="A275" t="str">
        <f>HYPERLINK("https://hsdes.intel.com/resource/14013158511","14013158511")</f>
        <v>14013158511</v>
      </c>
      <c r="B275" t="s">
        <v>754</v>
      </c>
      <c r="C275" t="s">
        <v>755</v>
      </c>
      <c r="D275" t="s">
        <v>22</v>
      </c>
      <c r="E275" t="s">
        <v>30</v>
      </c>
      <c r="F275" t="s">
        <v>121</v>
      </c>
    </row>
    <row r="276" spans="1:6" x14ac:dyDescent="0.3">
      <c r="A276" t="str">
        <f>HYPERLINK("https://hsdes.intel.com/resource/14013158520","14013158520")</f>
        <v>14013158520</v>
      </c>
      <c r="B276" t="s">
        <v>756</v>
      </c>
      <c r="C276" t="s">
        <v>757</v>
      </c>
      <c r="D276" t="s">
        <v>98</v>
      </c>
      <c r="E276" t="s">
        <v>18</v>
      </c>
      <c r="F276" t="s">
        <v>157</v>
      </c>
    </row>
    <row r="277" spans="1:6" x14ac:dyDescent="0.3">
      <c r="A277" t="str">
        <f>HYPERLINK("https://hsdes.intel.com/resource/14013158536","14013158536")</f>
        <v>14013158536</v>
      </c>
      <c r="B277" t="s">
        <v>758</v>
      </c>
      <c r="C277" t="s">
        <v>759</v>
      </c>
      <c r="D277" t="s">
        <v>22</v>
      </c>
      <c r="E277" t="s">
        <v>30</v>
      </c>
      <c r="F277" t="s">
        <v>760</v>
      </c>
    </row>
    <row r="278" spans="1:6" x14ac:dyDescent="0.3">
      <c r="A278" t="str">
        <f>HYPERLINK("https://hsdes.intel.com/resource/14013158557","14013158557")</f>
        <v>14013158557</v>
      </c>
      <c r="B278" t="s">
        <v>761</v>
      </c>
      <c r="C278" t="s">
        <v>762</v>
      </c>
      <c r="D278" t="s">
        <v>6</v>
      </c>
      <c r="E278" t="s">
        <v>63</v>
      </c>
      <c r="F278" t="s">
        <v>763</v>
      </c>
    </row>
    <row r="279" spans="1:6" x14ac:dyDescent="0.3">
      <c r="A279" t="str">
        <f>HYPERLINK("https://hsdes.intel.com/resource/14013158691","14013158691")</f>
        <v>14013158691</v>
      </c>
      <c r="B279" t="s">
        <v>764</v>
      </c>
      <c r="C279" t="s">
        <v>765</v>
      </c>
      <c r="D279" t="s">
        <v>6</v>
      </c>
      <c r="E279" t="s">
        <v>7</v>
      </c>
      <c r="F279" t="s">
        <v>766</v>
      </c>
    </row>
    <row r="280" spans="1:6" x14ac:dyDescent="0.3">
      <c r="A280" t="str">
        <f>HYPERLINK("https://hsdes.intel.com/resource/14013158695","14013158695")</f>
        <v>14013158695</v>
      </c>
      <c r="B280" t="s">
        <v>767</v>
      </c>
      <c r="C280" t="s">
        <v>768</v>
      </c>
      <c r="D280" t="s">
        <v>6</v>
      </c>
      <c r="E280" t="s">
        <v>7</v>
      </c>
      <c r="F280" t="s">
        <v>769</v>
      </c>
    </row>
    <row r="281" spans="1:6" x14ac:dyDescent="0.3">
      <c r="A281" t="str">
        <f>HYPERLINK("https://hsdes.intel.com/resource/14013158711","14013158711")</f>
        <v>14013158711</v>
      </c>
      <c r="B281" t="s">
        <v>770</v>
      </c>
      <c r="C281" t="s">
        <v>771</v>
      </c>
      <c r="D281" t="s">
        <v>6</v>
      </c>
      <c r="E281" t="s">
        <v>212</v>
      </c>
      <c r="F281" t="s">
        <v>772</v>
      </c>
    </row>
    <row r="282" spans="1:6" x14ac:dyDescent="0.3">
      <c r="A282" t="str">
        <f>HYPERLINK("https://hsdes.intel.com/resource/14013158728","14013158728")</f>
        <v>14013158728</v>
      </c>
      <c r="B282" t="s">
        <v>773</v>
      </c>
      <c r="C282" t="s">
        <v>774</v>
      </c>
      <c r="D282" t="s">
        <v>142</v>
      </c>
      <c r="E282" t="s">
        <v>63</v>
      </c>
      <c r="F282" t="s">
        <v>775</v>
      </c>
    </row>
    <row r="283" spans="1:6" x14ac:dyDescent="0.3">
      <c r="A283" t="str">
        <f>HYPERLINK("https://hsdes.intel.com/resource/14013158731","14013158731")</f>
        <v>14013158731</v>
      </c>
      <c r="B283" t="s">
        <v>776</v>
      </c>
      <c r="C283" t="s">
        <v>777</v>
      </c>
      <c r="D283" t="s">
        <v>6</v>
      </c>
      <c r="E283" t="s">
        <v>7</v>
      </c>
      <c r="F283" t="s">
        <v>778</v>
      </c>
    </row>
    <row r="284" spans="1:6" x14ac:dyDescent="0.3">
      <c r="A284" t="str">
        <f>HYPERLINK("https://hsdes.intel.com/resource/14013158739","14013158739")</f>
        <v>14013158739</v>
      </c>
      <c r="B284" t="s">
        <v>779</v>
      </c>
      <c r="C284" t="s">
        <v>780</v>
      </c>
      <c r="D284" t="s">
        <v>6</v>
      </c>
      <c r="E284" t="s">
        <v>7</v>
      </c>
      <c r="F284" t="s">
        <v>781</v>
      </c>
    </row>
    <row r="285" spans="1:6" x14ac:dyDescent="0.3">
      <c r="A285" t="str">
        <f>HYPERLINK("https://hsdes.intel.com/resource/14013158753","14013158753")</f>
        <v>14013158753</v>
      </c>
      <c r="B285" t="s">
        <v>782</v>
      </c>
      <c r="C285" t="s">
        <v>783</v>
      </c>
      <c r="D285" t="s">
        <v>98</v>
      </c>
      <c r="E285" t="s">
        <v>18</v>
      </c>
      <c r="F285" t="s">
        <v>784</v>
      </c>
    </row>
    <row r="286" spans="1:6" x14ac:dyDescent="0.3">
      <c r="A286" t="str">
        <f>HYPERLINK("https://hsdes.intel.com/resource/14013158782","14013158782")</f>
        <v>14013158782</v>
      </c>
      <c r="B286" t="s">
        <v>785</v>
      </c>
      <c r="C286" t="s">
        <v>786</v>
      </c>
      <c r="D286" t="s">
        <v>6</v>
      </c>
      <c r="E286" t="s">
        <v>30</v>
      </c>
      <c r="F286" t="s">
        <v>8</v>
      </c>
    </row>
    <row r="287" spans="1:6" x14ac:dyDescent="0.3">
      <c r="A287" t="str">
        <f>HYPERLINK("https://hsdes.intel.com/resource/14013158784","14013158784")</f>
        <v>14013158784</v>
      </c>
      <c r="B287" t="s">
        <v>787</v>
      </c>
      <c r="C287" t="s">
        <v>788</v>
      </c>
      <c r="D287" t="s">
        <v>6</v>
      </c>
      <c r="E287" t="s">
        <v>30</v>
      </c>
      <c r="F287" t="s">
        <v>8</v>
      </c>
    </row>
    <row r="288" spans="1:6" x14ac:dyDescent="0.3">
      <c r="A288" t="str">
        <f>HYPERLINK("https://hsdes.intel.com/resource/14013158786","14013158786")</f>
        <v>14013158786</v>
      </c>
      <c r="B288" t="s">
        <v>789</v>
      </c>
      <c r="C288" t="s">
        <v>790</v>
      </c>
      <c r="D288" t="s">
        <v>6</v>
      </c>
      <c r="E288" t="s">
        <v>30</v>
      </c>
      <c r="F288" t="s">
        <v>8</v>
      </c>
    </row>
    <row r="289" spans="1:6" x14ac:dyDescent="0.3">
      <c r="A289" t="str">
        <f>HYPERLINK("https://hsdes.intel.com/resource/14013158788","14013158788")</f>
        <v>14013158788</v>
      </c>
      <c r="B289" t="s">
        <v>791</v>
      </c>
      <c r="C289" t="s">
        <v>792</v>
      </c>
      <c r="D289" t="s">
        <v>6</v>
      </c>
      <c r="E289" t="s">
        <v>30</v>
      </c>
      <c r="F289" t="s">
        <v>8</v>
      </c>
    </row>
    <row r="290" spans="1:6" x14ac:dyDescent="0.3">
      <c r="A290" t="str">
        <f>HYPERLINK("https://hsdes.intel.com/resource/14013158792","14013158792")</f>
        <v>14013158792</v>
      </c>
      <c r="B290" t="s">
        <v>793</v>
      </c>
      <c r="C290" t="s">
        <v>794</v>
      </c>
      <c r="D290" t="s">
        <v>6</v>
      </c>
      <c r="E290" t="s">
        <v>7</v>
      </c>
      <c r="F290" t="s">
        <v>775</v>
      </c>
    </row>
    <row r="291" spans="1:6" x14ac:dyDescent="0.3">
      <c r="A291" t="str">
        <f>HYPERLINK("https://hsdes.intel.com/resource/14013158797","14013158797")</f>
        <v>14013158797</v>
      </c>
      <c r="B291" t="s">
        <v>795</v>
      </c>
      <c r="C291" t="s">
        <v>796</v>
      </c>
      <c r="D291" t="s">
        <v>6</v>
      </c>
      <c r="E291" t="s">
        <v>7</v>
      </c>
      <c r="F291" t="s">
        <v>222</v>
      </c>
    </row>
    <row r="292" spans="1:6" x14ac:dyDescent="0.3">
      <c r="A292" t="str">
        <f>HYPERLINK("https://hsdes.intel.com/resource/14013158804","14013158804")</f>
        <v>14013158804</v>
      </c>
      <c r="B292" t="s">
        <v>797</v>
      </c>
      <c r="C292" t="s">
        <v>798</v>
      </c>
      <c r="D292" t="s">
        <v>6</v>
      </c>
      <c r="E292" t="s">
        <v>7</v>
      </c>
      <c r="F292" t="s">
        <v>799</v>
      </c>
    </row>
    <row r="293" spans="1:6" x14ac:dyDescent="0.3">
      <c r="A293" t="str">
        <f>HYPERLINK("https://hsdes.intel.com/resource/14013158806","14013158806")</f>
        <v>14013158806</v>
      </c>
      <c r="B293" t="s">
        <v>800</v>
      </c>
      <c r="C293" t="s">
        <v>801</v>
      </c>
      <c r="D293" t="s">
        <v>6</v>
      </c>
      <c r="E293" t="s">
        <v>7</v>
      </c>
      <c r="F293" t="s">
        <v>105</v>
      </c>
    </row>
    <row r="294" spans="1:6" x14ac:dyDescent="0.3">
      <c r="A294" t="str">
        <f>HYPERLINK("https://hsdes.intel.com/resource/14013158809","14013158809")</f>
        <v>14013158809</v>
      </c>
      <c r="B294" t="s">
        <v>802</v>
      </c>
      <c r="C294" t="s">
        <v>803</v>
      </c>
      <c r="D294" t="s">
        <v>6</v>
      </c>
      <c r="E294" t="s">
        <v>212</v>
      </c>
      <c r="F294" t="s">
        <v>804</v>
      </c>
    </row>
    <row r="295" spans="1:6" x14ac:dyDescent="0.3">
      <c r="A295" t="str">
        <f>HYPERLINK("https://hsdes.intel.com/resource/14013158815","14013158815")</f>
        <v>14013158815</v>
      </c>
      <c r="B295" t="s">
        <v>805</v>
      </c>
      <c r="C295" t="s">
        <v>806</v>
      </c>
      <c r="D295" t="s">
        <v>6</v>
      </c>
      <c r="E295" t="s">
        <v>7</v>
      </c>
      <c r="F295" t="s">
        <v>807</v>
      </c>
    </row>
    <row r="296" spans="1:6" x14ac:dyDescent="0.3">
      <c r="A296" t="str">
        <f>HYPERLINK("https://hsdes.intel.com/resource/14013158817","14013158817")</f>
        <v>14013158817</v>
      </c>
      <c r="B296" t="s">
        <v>808</v>
      </c>
      <c r="C296" t="s">
        <v>809</v>
      </c>
      <c r="D296" t="s">
        <v>6</v>
      </c>
      <c r="E296" t="s">
        <v>7</v>
      </c>
      <c r="F296" t="s">
        <v>807</v>
      </c>
    </row>
    <row r="297" spans="1:6" x14ac:dyDescent="0.3">
      <c r="A297" t="str">
        <f>HYPERLINK("https://hsdes.intel.com/resource/14013158819","14013158819")</f>
        <v>14013158819</v>
      </c>
      <c r="B297" t="s">
        <v>810</v>
      </c>
      <c r="C297" t="s">
        <v>811</v>
      </c>
      <c r="D297" t="s">
        <v>6</v>
      </c>
      <c r="E297" t="s">
        <v>7</v>
      </c>
      <c r="F297" t="s">
        <v>812</v>
      </c>
    </row>
    <row r="298" spans="1:6" x14ac:dyDescent="0.3">
      <c r="A298" t="str">
        <f>HYPERLINK("https://hsdes.intel.com/resource/14013158821","14013158821")</f>
        <v>14013158821</v>
      </c>
      <c r="B298" t="s">
        <v>813</v>
      </c>
      <c r="C298" t="s">
        <v>814</v>
      </c>
      <c r="D298" t="s">
        <v>6</v>
      </c>
      <c r="E298" t="s">
        <v>7</v>
      </c>
      <c r="F298" t="s">
        <v>812</v>
      </c>
    </row>
    <row r="299" spans="1:6" x14ac:dyDescent="0.3">
      <c r="A299" t="str">
        <f>HYPERLINK("https://hsdes.intel.com/resource/14013158823","14013158823")</f>
        <v>14013158823</v>
      </c>
      <c r="B299" t="s">
        <v>815</v>
      </c>
      <c r="C299" t="s">
        <v>816</v>
      </c>
      <c r="D299" t="s">
        <v>6</v>
      </c>
      <c r="E299" t="s">
        <v>7</v>
      </c>
      <c r="F299" t="s">
        <v>812</v>
      </c>
    </row>
    <row r="300" spans="1:6" x14ac:dyDescent="0.3">
      <c r="A300" t="str">
        <f>HYPERLINK("https://hsdes.intel.com/resource/14013158825","14013158825")</f>
        <v>14013158825</v>
      </c>
      <c r="B300" t="s">
        <v>817</v>
      </c>
      <c r="C300" t="s">
        <v>818</v>
      </c>
      <c r="D300" t="s">
        <v>6</v>
      </c>
      <c r="E300" t="s">
        <v>7</v>
      </c>
      <c r="F300" t="s">
        <v>812</v>
      </c>
    </row>
    <row r="301" spans="1:6" x14ac:dyDescent="0.3">
      <c r="A301" t="str">
        <f>HYPERLINK("https://hsdes.intel.com/resource/14013158834","14013158834")</f>
        <v>14013158834</v>
      </c>
      <c r="B301" t="s">
        <v>819</v>
      </c>
      <c r="C301" t="s">
        <v>820</v>
      </c>
      <c r="D301" t="s">
        <v>6</v>
      </c>
      <c r="E301" t="s">
        <v>212</v>
      </c>
      <c r="F301" t="s">
        <v>821</v>
      </c>
    </row>
    <row r="302" spans="1:6" x14ac:dyDescent="0.3">
      <c r="A302" t="str">
        <f>HYPERLINK("https://hsdes.intel.com/resource/14013158836","14013158836")</f>
        <v>14013158836</v>
      </c>
      <c r="B302" t="s">
        <v>822</v>
      </c>
      <c r="C302" t="s">
        <v>823</v>
      </c>
      <c r="D302" t="s">
        <v>6</v>
      </c>
      <c r="E302" t="s">
        <v>212</v>
      </c>
      <c r="F302" t="s">
        <v>824</v>
      </c>
    </row>
    <row r="303" spans="1:6" x14ac:dyDescent="0.3">
      <c r="A303" t="str">
        <f>HYPERLINK("https://hsdes.intel.com/resource/14013158841","14013158841")</f>
        <v>14013158841</v>
      </c>
      <c r="B303" t="s">
        <v>825</v>
      </c>
      <c r="C303" t="s">
        <v>826</v>
      </c>
      <c r="D303" t="s">
        <v>6</v>
      </c>
      <c r="E303" t="s">
        <v>827</v>
      </c>
      <c r="F303" t="s">
        <v>828</v>
      </c>
    </row>
    <row r="304" spans="1:6" x14ac:dyDescent="0.3">
      <c r="A304" t="str">
        <f>HYPERLINK("https://hsdes.intel.com/resource/14013158843","14013158843")</f>
        <v>14013158843</v>
      </c>
      <c r="B304" t="s">
        <v>829</v>
      </c>
      <c r="C304" t="s">
        <v>830</v>
      </c>
      <c r="D304" t="s">
        <v>6</v>
      </c>
      <c r="E304" t="s">
        <v>212</v>
      </c>
      <c r="F304" t="s">
        <v>821</v>
      </c>
    </row>
    <row r="305" spans="1:6" x14ac:dyDescent="0.3">
      <c r="A305" t="str">
        <f>HYPERLINK("https://hsdes.intel.com/resource/14013158846","14013158846")</f>
        <v>14013158846</v>
      </c>
      <c r="B305" t="s">
        <v>831</v>
      </c>
      <c r="C305" t="s">
        <v>832</v>
      </c>
      <c r="D305" t="s">
        <v>6</v>
      </c>
      <c r="E305" t="s">
        <v>7</v>
      </c>
      <c r="F305" t="s">
        <v>833</v>
      </c>
    </row>
    <row r="306" spans="1:6" x14ac:dyDescent="0.3">
      <c r="A306" t="str">
        <f>HYPERLINK("https://hsdes.intel.com/resource/14013158871","14013158871")</f>
        <v>14013158871</v>
      </c>
      <c r="B306" t="s">
        <v>834</v>
      </c>
      <c r="C306" t="s">
        <v>835</v>
      </c>
      <c r="D306" t="s">
        <v>22</v>
      </c>
      <c r="E306" t="s">
        <v>709</v>
      </c>
      <c r="F306" t="s">
        <v>836</v>
      </c>
    </row>
    <row r="307" spans="1:6" x14ac:dyDescent="0.3">
      <c r="A307" t="str">
        <f>HYPERLINK("https://hsdes.intel.com/resource/14013158880","14013158880")</f>
        <v>14013158880</v>
      </c>
      <c r="B307" t="s">
        <v>837</v>
      </c>
      <c r="C307" t="s">
        <v>838</v>
      </c>
      <c r="D307" t="s">
        <v>6</v>
      </c>
      <c r="E307" t="s">
        <v>212</v>
      </c>
      <c r="F307" t="s">
        <v>839</v>
      </c>
    </row>
    <row r="308" spans="1:6" x14ac:dyDescent="0.3">
      <c r="A308" t="str">
        <f>HYPERLINK("https://hsdes.intel.com/resource/14013158882","14013158882")</f>
        <v>14013158882</v>
      </c>
      <c r="B308" t="s">
        <v>840</v>
      </c>
      <c r="C308" t="s">
        <v>841</v>
      </c>
      <c r="D308" t="s">
        <v>6</v>
      </c>
      <c r="E308" t="s">
        <v>7</v>
      </c>
      <c r="F308" t="s">
        <v>842</v>
      </c>
    </row>
    <row r="309" spans="1:6" x14ac:dyDescent="0.3">
      <c r="A309" t="str">
        <f>HYPERLINK("https://hsdes.intel.com/resource/14013158903","14013158903")</f>
        <v>14013158903</v>
      </c>
      <c r="B309" t="s">
        <v>843</v>
      </c>
      <c r="C309" t="s">
        <v>844</v>
      </c>
      <c r="D309" t="s">
        <v>6</v>
      </c>
      <c r="E309" t="s">
        <v>212</v>
      </c>
      <c r="F309" t="s">
        <v>845</v>
      </c>
    </row>
    <row r="310" spans="1:6" x14ac:dyDescent="0.3">
      <c r="A310" t="str">
        <f>HYPERLINK("https://hsdes.intel.com/resource/14013158905","14013158905")</f>
        <v>14013158905</v>
      </c>
      <c r="B310" t="s">
        <v>846</v>
      </c>
      <c r="C310" t="s">
        <v>847</v>
      </c>
      <c r="D310" t="s">
        <v>6</v>
      </c>
      <c r="E310" t="s">
        <v>7</v>
      </c>
      <c r="F310" t="s">
        <v>842</v>
      </c>
    </row>
    <row r="311" spans="1:6" x14ac:dyDescent="0.3">
      <c r="A311" t="str">
        <f>HYPERLINK("https://hsdes.intel.com/resource/14013158906","14013158906")</f>
        <v>14013158906</v>
      </c>
      <c r="B311" t="s">
        <v>848</v>
      </c>
      <c r="C311" t="s">
        <v>849</v>
      </c>
      <c r="D311" t="s">
        <v>6</v>
      </c>
      <c r="E311" t="s">
        <v>7</v>
      </c>
      <c r="F311" t="s">
        <v>842</v>
      </c>
    </row>
    <row r="312" spans="1:6" x14ac:dyDescent="0.3">
      <c r="A312" t="str">
        <f>HYPERLINK("https://hsdes.intel.com/resource/14013158908","14013158908")</f>
        <v>14013158908</v>
      </c>
      <c r="B312" t="s">
        <v>850</v>
      </c>
      <c r="C312" t="s">
        <v>851</v>
      </c>
      <c r="D312" t="s">
        <v>6</v>
      </c>
      <c r="E312" t="s">
        <v>7</v>
      </c>
      <c r="F312" t="s">
        <v>842</v>
      </c>
    </row>
    <row r="313" spans="1:6" x14ac:dyDescent="0.3">
      <c r="A313" t="str">
        <f>HYPERLINK("https://hsdes.intel.com/resource/14013158912","14013158912")</f>
        <v>14013158912</v>
      </c>
      <c r="B313" t="s">
        <v>852</v>
      </c>
      <c r="C313" t="s">
        <v>853</v>
      </c>
      <c r="D313" t="s">
        <v>6</v>
      </c>
      <c r="E313" t="s">
        <v>7</v>
      </c>
      <c r="F313" t="s">
        <v>854</v>
      </c>
    </row>
    <row r="314" spans="1:6" x14ac:dyDescent="0.3">
      <c r="A314" t="str">
        <f>HYPERLINK("https://hsdes.intel.com/resource/14013158922","14013158922")</f>
        <v>14013158922</v>
      </c>
      <c r="B314" t="s">
        <v>855</v>
      </c>
      <c r="C314" t="s">
        <v>856</v>
      </c>
      <c r="D314" t="s">
        <v>6</v>
      </c>
      <c r="E314" t="s">
        <v>7</v>
      </c>
      <c r="F314" t="s">
        <v>857</v>
      </c>
    </row>
    <row r="315" spans="1:6" x14ac:dyDescent="0.3">
      <c r="A315" t="str">
        <f>HYPERLINK("https://hsdes.intel.com/resource/14013158926","14013158926")</f>
        <v>14013158926</v>
      </c>
      <c r="B315" t="s">
        <v>858</v>
      </c>
      <c r="C315" t="s">
        <v>859</v>
      </c>
      <c r="D315" t="s">
        <v>6</v>
      </c>
      <c r="E315" t="s">
        <v>7</v>
      </c>
      <c r="F315" t="s">
        <v>842</v>
      </c>
    </row>
    <row r="316" spans="1:6" x14ac:dyDescent="0.3">
      <c r="A316" t="str">
        <f>HYPERLINK("https://hsdes.intel.com/resource/14013158937","14013158937")</f>
        <v>14013158937</v>
      </c>
      <c r="B316" t="s">
        <v>860</v>
      </c>
      <c r="C316" t="s">
        <v>861</v>
      </c>
      <c r="D316" t="s">
        <v>6</v>
      </c>
      <c r="E316" t="s">
        <v>7</v>
      </c>
      <c r="F316" t="s">
        <v>862</v>
      </c>
    </row>
    <row r="317" spans="1:6" x14ac:dyDescent="0.3">
      <c r="A317" t="str">
        <f>HYPERLINK("https://hsdes.intel.com/resource/14013158949","14013158949")</f>
        <v>14013158949</v>
      </c>
      <c r="B317" t="s">
        <v>863</v>
      </c>
      <c r="C317" t="s">
        <v>864</v>
      </c>
      <c r="D317" t="s">
        <v>142</v>
      </c>
      <c r="E317" t="s">
        <v>63</v>
      </c>
      <c r="F317" t="s">
        <v>865</v>
      </c>
    </row>
    <row r="318" spans="1:6" x14ac:dyDescent="0.3">
      <c r="A318" t="str">
        <f>HYPERLINK("https://hsdes.intel.com/resource/14013158951","14013158951")</f>
        <v>14013158951</v>
      </c>
      <c r="B318" t="s">
        <v>866</v>
      </c>
      <c r="C318" t="s">
        <v>867</v>
      </c>
      <c r="D318" t="s">
        <v>142</v>
      </c>
      <c r="E318" t="s">
        <v>63</v>
      </c>
      <c r="F318" t="s">
        <v>868</v>
      </c>
    </row>
    <row r="319" spans="1:6" x14ac:dyDescent="0.3">
      <c r="A319" t="str">
        <f>HYPERLINK("https://hsdes.intel.com/resource/14013158953","14013158953")</f>
        <v>14013158953</v>
      </c>
      <c r="B319" t="s">
        <v>869</v>
      </c>
      <c r="C319" t="s">
        <v>870</v>
      </c>
      <c r="D319" t="s">
        <v>6</v>
      </c>
      <c r="E319" t="s">
        <v>7</v>
      </c>
      <c r="F319" t="s">
        <v>862</v>
      </c>
    </row>
    <row r="320" spans="1:6" x14ac:dyDescent="0.3">
      <c r="A320" t="str">
        <f>HYPERLINK("https://hsdes.intel.com/resource/14013158965","14013158965")</f>
        <v>14013158965</v>
      </c>
      <c r="B320" t="s">
        <v>871</v>
      </c>
      <c r="C320" t="s">
        <v>872</v>
      </c>
      <c r="D320" t="s">
        <v>22</v>
      </c>
      <c r="E320" t="s">
        <v>30</v>
      </c>
      <c r="F320" t="s">
        <v>873</v>
      </c>
    </row>
    <row r="321" spans="1:6" x14ac:dyDescent="0.3">
      <c r="A321" t="str">
        <f>HYPERLINK("https://hsdes.intel.com/resource/14013158967","14013158967")</f>
        <v>14013158967</v>
      </c>
      <c r="B321" t="s">
        <v>874</v>
      </c>
      <c r="C321" t="s">
        <v>875</v>
      </c>
      <c r="D321" t="s">
        <v>22</v>
      </c>
      <c r="E321" t="s">
        <v>30</v>
      </c>
      <c r="F321" t="s">
        <v>865</v>
      </c>
    </row>
    <row r="322" spans="1:6" x14ac:dyDescent="0.3">
      <c r="A322" t="str">
        <f>HYPERLINK("https://hsdes.intel.com/resource/14013158985","14013158985")</f>
        <v>14013158985</v>
      </c>
      <c r="B322" t="s">
        <v>876</v>
      </c>
      <c r="C322" t="s">
        <v>877</v>
      </c>
      <c r="D322" t="s">
        <v>29</v>
      </c>
      <c r="E322" t="s">
        <v>30</v>
      </c>
      <c r="F322" t="s">
        <v>878</v>
      </c>
    </row>
    <row r="323" spans="1:6" x14ac:dyDescent="0.3">
      <c r="A323" t="str">
        <f>HYPERLINK("https://hsdes.intel.com/resource/14013158987","14013158987")</f>
        <v>14013158987</v>
      </c>
      <c r="B323" t="s">
        <v>879</v>
      </c>
      <c r="C323" t="s">
        <v>880</v>
      </c>
      <c r="D323" t="s">
        <v>22</v>
      </c>
      <c r="E323" t="s">
        <v>30</v>
      </c>
      <c r="F323" t="s">
        <v>881</v>
      </c>
    </row>
    <row r="324" spans="1:6" x14ac:dyDescent="0.3">
      <c r="A324" t="str">
        <f>HYPERLINK("https://hsdes.intel.com/resource/14013158991","14013158991")</f>
        <v>14013158991</v>
      </c>
      <c r="B324" t="s">
        <v>882</v>
      </c>
      <c r="C324" t="s">
        <v>883</v>
      </c>
      <c r="D324" t="s">
        <v>22</v>
      </c>
      <c r="E324" t="s">
        <v>30</v>
      </c>
      <c r="F324" t="s">
        <v>884</v>
      </c>
    </row>
    <row r="325" spans="1:6" x14ac:dyDescent="0.3">
      <c r="A325" t="str">
        <f>HYPERLINK("https://hsdes.intel.com/resource/14013158993","14013158993")</f>
        <v>14013158993</v>
      </c>
      <c r="B325" t="s">
        <v>885</v>
      </c>
      <c r="C325" t="s">
        <v>886</v>
      </c>
      <c r="D325" t="s">
        <v>22</v>
      </c>
      <c r="E325" t="s">
        <v>18</v>
      </c>
      <c r="F325" t="s">
        <v>887</v>
      </c>
    </row>
    <row r="326" spans="1:6" x14ac:dyDescent="0.3">
      <c r="A326" t="str">
        <f>HYPERLINK("https://hsdes.intel.com/resource/14013159002","14013159002")</f>
        <v>14013159002</v>
      </c>
      <c r="B326" t="s">
        <v>888</v>
      </c>
      <c r="C326" t="s">
        <v>889</v>
      </c>
      <c r="D326" t="s">
        <v>17</v>
      </c>
      <c r="E326" t="s">
        <v>694</v>
      </c>
      <c r="F326" t="s">
        <v>890</v>
      </c>
    </row>
    <row r="327" spans="1:6" x14ac:dyDescent="0.3">
      <c r="A327" t="str">
        <f>HYPERLINK("https://hsdes.intel.com/resource/14013159006","14013159006")</f>
        <v>14013159006</v>
      </c>
      <c r="B327" t="s">
        <v>891</v>
      </c>
      <c r="C327" t="s">
        <v>892</v>
      </c>
      <c r="D327" t="s">
        <v>6</v>
      </c>
      <c r="E327" t="s">
        <v>7</v>
      </c>
      <c r="F327" t="s">
        <v>778</v>
      </c>
    </row>
    <row r="328" spans="1:6" x14ac:dyDescent="0.3">
      <c r="A328" t="str">
        <f>HYPERLINK("https://hsdes.intel.com/resource/14013159008","14013159008")</f>
        <v>14013159008</v>
      </c>
      <c r="B328" t="s">
        <v>893</v>
      </c>
      <c r="C328" t="s">
        <v>894</v>
      </c>
      <c r="D328" t="s">
        <v>22</v>
      </c>
      <c r="E328" t="s">
        <v>114</v>
      </c>
      <c r="F328" t="s">
        <v>895</v>
      </c>
    </row>
    <row r="329" spans="1:6" x14ac:dyDescent="0.3">
      <c r="A329" t="str">
        <f>HYPERLINK("https://hsdes.intel.com/resource/14013159019","14013159019")</f>
        <v>14013159019</v>
      </c>
      <c r="B329" t="s">
        <v>896</v>
      </c>
      <c r="C329" t="s">
        <v>897</v>
      </c>
      <c r="D329" t="s">
        <v>6</v>
      </c>
      <c r="E329" t="s">
        <v>898</v>
      </c>
      <c r="F329" t="s">
        <v>899</v>
      </c>
    </row>
    <row r="330" spans="1:6" x14ac:dyDescent="0.3">
      <c r="A330" t="str">
        <f>HYPERLINK("https://hsdes.intel.com/resource/14013159027","14013159027")</f>
        <v>14013159027</v>
      </c>
      <c r="B330" t="s">
        <v>900</v>
      </c>
      <c r="C330" t="s">
        <v>901</v>
      </c>
      <c r="D330" t="s">
        <v>6</v>
      </c>
      <c r="E330" t="s">
        <v>7</v>
      </c>
      <c r="F330" t="s">
        <v>812</v>
      </c>
    </row>
    <row r="331" spans="1:6" x14ac:dyDescent="0.3">
      <c r="A331" t="str">
        <f>HYPERLINK("https://hsdes.intel.com/resource/14013159034","14013159034")</f>
        <v>14013159034</v>
      </c>
      <c r="B331" t="s">
        <v>902</v>
      </c>
      <c r="C331" t="s">
        <v>903</v>
      </c>
      <c r="D331" t="s">
        <v>22</v>
      </c>
      <c r="E331" t="s">
        <v>904</v>
      </c>
      <c r="F331" t="s">
        <v>905</v>
      </c>
    </row>
    <row r="332" spans="1:6" x14ac:dyDescent="0.3">
      <c r="A332" t="str">
        <f>HYPERLINK("https://hsdes.intel.com/resource/14013159048","14013159048")</f>
        <v>14013159048</v>
      </c>
      <c r="B332" t="s">
        <v>906</v>
      </c>
      <c r="C332" t="s">
        <v>907</v>
      </c>
      <c r="D332" t="s">
        <v>22</v>
      </c>
      <c r="E332" t="s">
        <v>18</v>
      </c>
      <c r="F332" t="s">
        <v>26</v>
      </c>
    </row>
    <row r="333" spans="1:6" x14ac:dyDescent="0.3">
      <c r="A333" t="str">
        <f>HYPERLINK("https://hsdes.intel.com/resource/14013159050","14013159050")</f>
        <v>14013159050</v>
      </c>
      <c r="B333" t="s">
        <v>908</v>
      </c>
      <c r="C333" t="s">
        <v>909</v>
      </c>
      <c r="D333" t="s">
        <v>22</v>
      </c>
      <c r="E333" t="s">
        <v>30</v>
      </c>
      <c r="F333" t="s">
        <v>23</v>
      </c>
    </row>
    <row r="334" spans="1:6" x14ac:dyDescent="0.3">
      <c r="A334" t="str">
        <f>HYPERLINK("https://hsdes.intel.com/resource/14013159082","14013159082")</f>
        <v>14013159082</v>
      </c>
      <c r="B334" t="s">
        <v>910</v>
      </c>
      <c r="C334" t="s">
        <v>911</v>
      </c>
      <c r="D334" t="s">
        <v>6</v>
      </c>
      <c r="E334" t="s">
        <v>7</v>
      </c>
      <c r="F334" t="s">
        <v>157</v>
      </c>
    </row>
    <row r="335" spans="1:6" x14ac:dyDescent="0.3">
      <c r="A335" t="str">
        <f>HYPERLINK("https://hsdes.intel.com/resource/14013159088","14013159088")</f>
        <v>14013159088</v>
      </c>
      <c r="B335" t="s">
        <v>912</v>
      </c>
      <c r="C335" t="s">
        <v>913</v>
      </c>
      <c r="D335" t="s">
        <v>6</v>
      </c>
      <c r="E335" t="s">
        <v>7</v>
      </c>
      <c r="F335" t="s">
        <v>914</v>
      </c>
    </row>
    <row r="336" spans="1:6" x14ac:dyDescent="0.3">
      <c r="A336" t="str">
        <f>HYPERLINK("https://hsdes.intel.com/resource/14013159100","14013159100")</f>
        <v>14013159100</v>
      </c>
      <c r="B336" t="s">
        <v>915</v>
      </c>
      <c r="C336" t="s">
        <v>916</v>
      </c>
      <c r="D336" t="s">
        <v>6</v>
      </c>
      <c r="E336" t="s">
        <v>7</v>
      </c>
      <c r="F336" t="s">
        <v>157</v>
      </c>
    </row>
    <row r="337" spans="1:6" x14ac:dyDescent="0.3">
      <c r="A337" t="str">
        <f>HYPERLINK("https://hsdes.intel.com/resource/14013159102","14013159102")</f>
        <v>14013159102</v>
      </c>
      <c r="B337" t="s">
        <v>917</v>
      </c>
      <c r="C337" t="s">
        <v>918</v>
      </c>
      <c r="D337" t="s">
        <v>6</v>
      </c>
      <c r="E337" t="s">
        <v>7</v>
      </c>
      <c r="F337" t="s">
        <v>919</v>
      </c>
    </row>
    <row r="338" spans="1:6" x14ac:dyDescent="0.3">
      <c r="A338" t="str">
        <f>HYPERLINK("https://hsdes.intel.com/resource/14013159106","14013159106")</f>
        <v>14013159106</v>
      </c>
      <c r="B338" t="s">
        <v>920</v>
      </c>
      <c r="C338" t="s">
        <v>921</v>
      </c>
      <c r="D338" t="s">
        <v>6</v>
      </c>
      <c r="E338" t="s">
        <v>7</v>
      </c>
      <c r="F338" t="s">
        <v>922</v>
      </c>
    </row>
    <row r="339" spans="1:6" x14ac:dyDescent="0.3">
      <c r="A339" t="str">
        <f>HYPERLINK("https://hsdes.intel.com/resource/14013159108","14013159108")</f>
        <v>14013159108</v>
      </c>
      <c r="B339" t="s">
        <v>923</v>
      </c>
      <c r="C339" t="s">
        <v>924</v>
      </c>
      <c r="D339" t="s">
        <v>6</v>
      </c>
      <c r="E339" t="s">
        <v>648</v>
      </c>
      <c r="F339" t="s">
        <v>925</v>
      </c>
    </row>
    <row r="340" spans="1:6" x14ac:dyDescent="0.3">
      <c r="A340" t="str">
        <f>HYPERLINK("https://hsdes.intel.com/resource/14013159116","14013159116")</f>
        <v>14013159116</v>
      </c>
      <c r="B340" t="s">
        <v>926</v>
      </c>
      <c r="C340" t="s">
        <v>927</v>
      </c>
      <c r="D340" t="s">
        <v>6</v>
      </c>
      <c r="E340" t="s">
        <v>7</v>
      </c>
      <c r="F340" t="s">
        <v>157</v>
      </c>
    </row>
    <row r="341" spans="1:6" x14ac:dyDescent="0.3">
      <c r="A341" t="str">
        <f>HYPERLINK("https://hsdes.intel.com/resource/14013159121","14013159121")</f>
        <v>14013159121</v>
      </c>
      <c r="B341" t="s">
        <v>928</v>
      </c>
      <c r="C341" t="s">
        <v>929</v>
      </c>
      <c r="D341" t="s">
        <v>6</v>
      </c>
      <c r="E341" t="s">
        <v>7</v>
      </c>
      <c r="F341" t="s">
        <v>157</v>
      </c>
    </row>
    <row r="342" spans="1:6" x14ac:dyDescent="0.3">
      <c r="A342" t="str">
        <f>HYPERLINK("https://hsdes.intel.com/resource/14013159132","14013159132")</f>
        <v>14013159132</v>
      </c>
      <c r="B342" t="s">
        <v>930</v>
      </c>
      <c r="C342" t="s">
        <v>931</v>
      </c>
      <c r="D342" t="s">
        <v>6</v>
      </c>
      <c r="E342" t="s">
        <v>7</v>
      </c>
      <c r="F342" t="s">
        <v>932</v>
      </c>
    </row>
    <row r="343" spans="1:6" x14ac:dyDescent="0.3">
      <c r="A343" t="str">
        <f>HYPERLINK("https://hsdes.intel.com/resource/14013159136","14013159136")</f>
        <v>14013159136</v>
      </c>
      <c r="B343" t="s">
        <v>933</v>
      </c>
      <c r="C343" t="s">
        <v>934</v>
      </c>
      <c r="D343" t="s">
        <v>6</v>
      </c>
      <c r="E343" t="s">
        <v>7</v>
      </c>
      <c r="F343" t="s">
        <v>157</v>
      </c>
    </row>
    <row r="344" spans="1:6" x14ac:dyDescent="0.3">
      <c r="A344" t="str">
        <f>HYPERLINK("https://hsdes.intel.com/resource/14013159138","14013159138")</f>
        <v>14013159138</v>
      </c>
      <c r="B344" t="s">
        <v>935</v>
      </c>
      <c r="C344" t="s">
        <v>936</v>
      </c>
      <c r="D344" t="s">
        <v>6</v>
      </c>
      <c r="E344" t="s">
        <v>7</v>
      </c>
      <c r="F344" t="s">
        <v>937</v>
      </c>
    </row>
    <row r="345" spans="1:6" x14ac:dyDescent="0.3">
      <c r="A345" t="str">
        <f>HYPERLINK("https://hsdes.intel.com/resource/14013159141","14013159141")</f>
        <v>14013159141</v>
      </c>
      <c r="B345" t="s">
        <v>938</v>
      </c>
      <c r="C345" t="s">
        <v>939</v>
      </c>
      <c r="D345" t="s">
        <v>6</v>
      </c>
      <c r="E345" t="s">
        <v>7</v>
      </c>
      <c r="F345" t="s">
        <v>937</v>
      </c>
    </row>
    <row r="346" spans="1:6" x14ac:dyDescent="0.3">
      <c r="A346" t="str">
        <f>HYPERLINK("https://hsdes.intel.com/resource/14013159143","14013159143")</f>
        <v>14013159143</v>
      </c>
      <c r="B346" t="s">
        <v>940</v>
      </c>
      <c r="C346" t="s">
        <v>941</v>
      </c>
      <c r="D346" t="s">
        <v>6</v>
      </c>
      <c r="E346" t="s">
        <v>7</v>
      </c>
      <c r="F346" t="s">
        <v>942</v>
      </c>
    </row>
    <row r="347" spans="1:6" x14ac:dyDescent="0.3">
      <c r="A347" t="str">
        <f>HYPERLINK("https://hsdes.intel.com/resource/14013159148","14013159148")</f>
        <v>14013159148</v>
      </c>
      <c r="B347" t="s">
        <v>943</v>
      </c>
      <c r="C347" t="s">
        <v>944</v>
      </c>
      <c r="D347" t="s">
        <v>6</v>
      </c>
      <c r="E347" t="s">
        <v>7</v>
      </c>
      <c r="F347" t="s">
        <v>945</v>
      </c>
    </row>
    <row r="348" spans="1:6" x14ac:dyDescent="0.3">
      <c r="A348" t="str">
        <f>HYPERLINK("https://hsdes.intel.com/resource/14013159151","14013159151")</f>
        <v>14013159151</v>
      </c>
      <c r="B348" t="s">
        <v>946</v>
      </c>
      <c r="C348" t="s">
        <v>947</v>
      </c>
      <c r="D348" t="s">
        <v>6</v>
      </c>
      <c r="E348" t="s">
        <v>7</v>
      </c>
      <c r="F348" t="s">
        <v>942</v>
      </c>
    </row>
    <row r="349" spans="1:6" x14ac:dyDescent="0.3">
      <c r="A349" t="str">
        <f>HYPERLINK("https://hsdes.intel.com/resource/14013159155","14013159155")</f>
        <v>14013159155</v>
      </c>
      <c r="B349" t="s">
        <v>948</v>
      </c>
      <c r="C349" t="s">
        <v>949</v>
      </c>
      <c r="D349" t="s">
        <v>6</v>
      </c>
      <c r="E349" t="s">
        <v>7</v>
      </c>
      <c r="F349" t="s">
        <v>157</v>
      </c>
    </row>
    <row r="350" spans="1:6" x14ac:dyDescent="0.3">
      <c r="A350" t="str">
        <f>HYPERLINK("https://hsdes.intel.com/resource/14013159158","14013159158")</f>
        <v>14013159158</v>
      </c>
      <c r="B350" t="s">
        <v>950</v>
      </c>
      <c r="C350" t="s">
        <v>951</v>
      </c>
      <c r="D350" t="s">
        <v>6</v>
      </c>
      <c r="E350" t="s">
        <v>7</v>
      </c>
      <c r="F350" t="s">
        <v>157</v>
      </c>
    </row>
    <row r="351" spans="1:6" x14ac:dyDescent="0.3">
      <c r="A351" t="str">
        <f>HYPERLINK("https://hsdes.intel.com/resource/14013159161","14013159161")</f>
        <v>14013159161</v>
      </c>
      <c r="B351" t="s">
        <v>952</v>
      </c>
      <c r="C351" t="s">
        <v>953</v>
      </c>
      <c r="D351" t="s">
        <v>6</v>
      </c>
      <c r="E351" t="s">
        <v>7</v>
      </c>
      <c r="F351" t="s">
        <v>919</v>
      </c>
    </row>
    <row r="352" spans="1:6" x14ac:dyDescent="0.3">
      <c r="A352" t="str">
        <f>HYPERLINK("https://hsdes.intel.com/resource/14013159169","14013159169")</f>
        <v>14013159169</v>
      </c>
      <c r="B352" t="s">
        <v>954</v>
      </c>
      <c r="C352" t="s">
        <v>955</v>
      </c>
      <c r="D352" t="s">
        <v>6</v>
      </c>
      <c r="E352" t="s">
        <v>7</v>
      </c>
      <c r="F352" t="s">
        <v>956</v>
      </c>
    </row>
    <row r="353" spans="1:6" x14ac:dyDescent="0.3">
      <c r="A353" t="str">
        <f>HYPERLINK("https://hsdes.intel.com/resource/14013159172","14013159172")</f>
        <v>14013159172</v>
      </c>
      <c r="B353" t="s">
        <v>957</v>
      </c>
      <c r="C353" t="s">
        <v>958</v>
      </c>
      <c r="D353" t="s">
        <v>6</v>
      </c>
      <c r="E353" t="s">
        <v>7</v>
      </c>
      <c r="F353" t="s">
        <v>157</v>
      </c>
    </row>
    <row r="354" spans="1:6" x14ac:dyDescent="0.3">
      <c r="A354" t="str">
        <f>HYPERLINK("https://hsdes.intel.com/resource/14013159175","14013159175")</f>
        <v>14013159175</v>
      </c>
      <c r="B354" t="s">
        <v>959</v>
      </c>
      <c r="C354" t="s">
        <v>960</v>
      </c>
      <c r="D354" t="s">
        <v>6</v>
      </c>
      <c r="E354" t="s">
        <v>7</v>
      </c>
      <c r="F354" t="s">
        <v>157</v>
      </c>
    </row>
    <row r="355" spans="1:6" x14ac:dyDescent="0.3">
      <c r="A355" t="str">
        <f>HYPERLINK("https://hsdes.intel.com/resource/14013159178","14013159178")</f>
        <v>14013159178</v>
      </c>
      <c r="B355" t="s">
        <v>961</v>
      </c>
      <c r="C355" t="s">
        <v>962</v>
      </c>
      <c r="D355" t="s">
        <v>6</v>
      </c>
      <c r="E355" t="s">
        <v>648</v>
      </c>
      <c r="F355" t="s">
        <v>963</v>
      </c>
    </row>
    <row r="356" spans="1:6" x14ac:dyDescent="0.3">
      <c r="A356" t="str">
        <f>HYPERLINK("https://hsdes.intel.com/resource/14013159182","14013159182")</f>
        <v>14013159182</v>
      </c>
      <c r="B356" t="s">
        <v>964</v>
      </c>
      <c r="C356" t="s">
        <v>965</v>
      </c>
      <c r="D356" t="s">
        <v>6</v>
      </c>
      <c r="E356" t="s">
        <v>7</v>
      </c>
      <c r="F356" t="s">
        <v>966</v>
      </c>
    </row>
    <row r="357" spans="1:6" x14ac:dyDescent="0.3">
      <c r="A357" t="str">
        <f>HYPERLINK("https://hsdes.intel.com/resource/14013159191","14013159191")</f>
        <v>14013159191</v>
      </c>
      <c r="B357" t="s">
        <v>967</v>
      </c>
      <c r="C357" t="s">
        <v>968</v>
      </c>
      <c r="D357" t="s">
        <v>6</v>
      </c>
      <c r="E357" t="s">
        <v>7</v>
      </c>
      <c r="F357" t="s">
        <v>157</v>
      </c>
    </row>
    <row r="358" spans="1:6" x14ac:dyDescent="0.3">
      <c r="A358" t="str">
        <f>HYPERLINK("https://hsdes.intel.com/resource/14013159199","14013159199")</f>
        <v>14013159199</v>
      </c>
      <c r="B358" t="s">
        <v>969</v>
      </c>
      <c r="C358" t="s">
        <v>970</v>
      </c>
      <c r="D358" t="s">
        <v>6</v>
      </c>
      <c r="E358" t="s">
        <v>7</v>
      </c>
      <c r="F358" t="s">
        <v>971</v>
      </c>
    </row>
    <row r="359" spans="1:6" x14ac:dyDescent="0.3">
      <c r="A359" t="str">
        <f>HYPERLINK("https://hsdes.intel.com/resource/14013159201","14013159201")</f>
        <v>14013159201</v>
      </c>
      <c r="B359" t="s">
        <v>972</v>
      </c>
      <c r="C359" t="s">
        <v>973</v>
      </c>
      <c r="D359" t="s">
        <v>6</v>
      </c>
      <c r="E359" t="s">
        <v>7</v>
      </c>
      <c r="F359" t="s">
        <v>974</v>
      </c>
    </row>
    <row r="360" spans="1:6" x14ac:dyDescent="0.3">
      <c r="A360" t="str">
        <f>HYPERLINK("https://hsdes.intel.com/resource/14013159204","14013159204")</f>
        <v>14013159204</v>
      </c>
      <c r="B360" t="s">
        <v>975</v>
      </c>
      <c r="C360" t="s">
        <v>976</v>
      </c>
      <c r="D360" t="s">
        <v>6</v>
      </c>
      <c r="E360" t="s">
        <v>7</v>
      </c>
      <c r="F360" t="s">
        <v>157</v>
      </c>
    </row>
    <row r="361" spans="1:6" x14ac:dyDescent="0.3">
      <c r="A361" t="str">
        <f>HYPERLINK("https://hsdes.intel.com/resource/14013159215","14013159215")</f>
        <v>14013159215</v>
      </c>
      <c r="B361" t="s">
        <v>977</v>
      </c>
      <c r="C361" t="s">
        <v>978</v>
      </c>
      <c r="D361" t="s">
        <v>6</v>
      </c>
      <c r="E361" t="s">
        <v>7</v>
      </c>
      <c r="F361" t="s">
        <v>979</v>
      </c>
    </row>
    <row r="362" spans="1:6" x14ac:dyDescent="0.3">
      <c r="A362" t="str">
        <f>HYPERLINK("https://hsdes.intel.com/resource/14013159219","14013159219")</f>
        <v>14013159219</v>
      </c>
      <c r="B362" t="s">
        <v>980</v>
      </c>
      <c r="C362" t="s">
        <v>981</v>
      </c>
      <c r="D362" t="s">
        <v>6</v>
      </c>
      <c r="E362" t="s">
        <v>7</v>
      </c>
      <c r="F362" t="s">
        <v>922</v>
      </c>
    </row>
    <row r="363" spans="1:6" x14ac:dyDescent="0.3">
      <c r="A363" t="str">
        <f>HYPERLINK("https://hsdes.intel.com/resource/14013159222","14013159222")</f>
        <v>14013159222</v>
      </c>
      <c r="B363" t="s">
        <v>982</v>
      </c>
      <c r="C363" t="s">
        <v>983</v>
      </c>
      <c r="D363" t="s">
        <v>6</v>
      </c>
      <c r="E363" t="s">
        <v>7</v>
      </c>
      <c r="F363" t="s">
        <v>919</v>
      </c>
    </row>
    <row r="364" spans="1:6" x14ac:dyDescent="0.3">
      <c r="A364" t="str">
        <f>HYPERLINK("https://hsdes.intel.com/resource/14013159224","14013159224")</f>
        <v>14013159224</v>
      </c>
      <c r="B364" t="s">
        <v>984</v>
      </c>
      <c r="C364" t="s">
        <v>985</v>
      </c>
      <c r="D364" t="s">
        <v>6</v>
      </c>
      <c r="E364" t="s">
        <v>7</v>
      </c>
      <c r="F364" t="s">
        <v>778</v>
      </c>
    </row>
    <row r="365" spans="1:6" x14ac:dyDescent="0.3">
      <c r="A365" t="str">
        <f>HYPERLINK("https://hsdes.intel.com/resource/14013159227","14013159227")</f>
        <v>14013159227</v>
      </c>
      <c r="B365" t="s">
        <v>986</v>
      </c>
      <c r="C365" t="s">
        <v>987</v>
      </c>
      <c r="D365" t="s">
        <v>6</v>
      </c>
      <c r="E365" t="s">
        <v>7</v>
      </c>
      <c r="F365" t="s">
        <v>157</v>
      </c>
    </row>
    <row r="366" spans="1:6" x14ac:dyDescent="0.3">
      <c r="A366" t="str">
        <f>HYPERLINK("https://hsdes.intel.com/resource/14013159254","14013159254")</f>
        <v>14013159254</v>
      </c>
      <c r="B366" t="s">
        <v>988</v>
      </c>
      <c r="C366" t="s">
        <v>989</v>
      </c>
      <c r="D366" t="s">
        <v>6</v>
      </c>
      <c r="E366" t="s">
        <v>7</v>
      </c>
      <c r="F366" t="s">
        <v>157</v>
      </c>
    </row>
    <row r="367" spans="1:6" x14ac:dyDescent="0.3">
      <c r="A367" t="str">
        <f>HYPERLINK("https://hsdes.intel.com/resource/14013159259","14013159259")</f>
        <v>14013159259</v>
      </c>
      <c r="B367" t="s">
        <v>990</v>
      </c>
      <c r="C367" t="s">
        <v>991</v>
      </c>
      <c r="D367" t="s">
        <v>6</v>
      </c>
      <c r="E367" t="s">
        <v>7</v>
      </c>
      <c r="F367" t="s">
        <v>932</v>
      </c>
    </row>
    <row r="368" spans="1:6" x14ac:dyDescent="0.3">
      <c r="A368" t="str">
        <f>HYPERLINK("https://hsdes.intel.com/resource/14013159261","14013159261")</f>
        <v>14013159261</v>
      </c>
      <c r="B368" t="s">
        <v>992</v>
      </c>
      <c r="C368" t="s">
        <v>993</v>
      </c>
      <c r="D368" t="s">
        <v>6</v>
      </c>
      <c r="E368" t="s">
        <v>7</v>
      </c>
      <c r="F368" t="s">
        <v>919</v>
      </c>
    </row>
    <row r="369" spans="1:6" x14ac:dyDescent="0.3">
      <c r="A369" t="str">
        <f>HYPERLINK("https://hsdes.intel.com/resource/14013159264","14013159264")</f>
        <v>14013159264</v>
      </c>
      <c r="B369" t="s">
        <v>994</v>
      </c>
      <c r="C369" t="s">
        <v>995</v>
      </c>
      <c r="D369" t="s">
        <v>6</v>
      </c>
      <c r="E369" t="s">
        <v>7</v>
      </c>
      <c r="F369" t="s">
        <v>919</v>
      </c>
    </row>
    <row r="370" spans="1:6" x14ac:dyDescent="0.3">
      <c r="A370" t="str">
        <f>HYPERLINK("https://hsdes.intel.com/resource/14013159266","14013159266")</f>
        <v>14013159266</v>
      </c>
      <c r="B370" t="s">
        <v>996</v>
      </c>
      <c r="C370" t="s">
        <v>997</v>
      </c>
      <c r="D370" t="s">
        <v>6</v>
      </c>
      <c r="E370" t="s">
        <v>648</v>
      </c>
      <c r="F370" t="s">
        <v>998</v>
      </c>
    </row>
    <row r="371" spans="1:6" x14ac:dyDescent="0.3">
      <c r="A371" t="str">
        <f>HYPERLINK("https://hsdes.intel.com/resource/14013159278","14013159278")</f>
        <v>14013159278</v>
      </c>
      <c r="B371" t="s">
        <v>999</v>
      </c>
      <c r="C371" t="s">
        <v>1000</v>
      </c>
      <c r="D371" t="s">
        <v>6</v>
      </c>
      <c r="E371" t="s">
        <v>7</v>
      </c>
      <c r="F371" t="s">
        <v>1001</v>
      </c>
    </row>
    <row r="372" spans="1:6" x14ac:dyDescent="0.3">
      <c r="A372" t="str">
        <f>HYPERLINK("https://hsdes.intel.com/resource/14013159280","14013159280")</f>
        <v>14013159280</v>
      </c>
      <c r="B372" t="s">
        <v>1002</v>
      </c>
      <c r="C372" t="s">
        <v>1003</v>
      </c>
      <c r="D372" t="s">
        <v>6</v>
      </c>
      <c r="E372" t="s">
        <v>7</v>
      </c>
      <c r="F372" t="s">
        <v>862</v>
      </c>
    </row>
    <row r="373" spans="1:6" x14ac:dyDescent="0.3">
      <c r="A373" t="str">
        <f>HYPERLINK("https://hsdes.intel.com/resource/14013159282","14013159282")</f>
        <v>14013159282</v>
      </c>
      <c r="B373" t="s">
        <v>1004</v>
      </c>
      <c r="C373" t="s">
        <v>1005</v>
      </c>
      <c r="D373" t="s">
        <v>6</v>
      </c>
      <c r="E373" t="s">
        <v>7</v>
      </c>
      <c r="F373" t="s">
        <v>842</v>
      </c>
    </row>
    <row r="374" spans="1:6" x14ac:dyDescent="0.3">
      <c r="A374" t="str">
        <f>HYPERLINK("https://hsdes.intel.com/resource/14013159285","14013159285")</f>
        <v>14013159285</v>
      </c>
      <c r="B374" t="s">
        <v>1006</v>
      </c>
      <c r="C374" t="s">
        <v>1007</v>
      </c>
      <c r="D374" t="s">
        <v>6</v>
      </c>
      <c r="E374" t="s">
        <v>7</v>
      </c>
      <c r="F374" t="s">
        <v>862</v>
      </c>
    </row>
    <row r="375" spans="1:6" ht="273.60000000000002" x14ac:dyDescent="0.3">
      <c r="A375" t="str">
        <f>HYPERLINK("https://hsdes.intel.com/resource/14013159294","14013159294")</f>
        <v>14013159294</v>
      </c>
      <c r="B375" s="1" t="s">
        <v>1008</v>
      </c>
      <c r="C375" t="s">
        <v>1009</v>
      </c>
      <c r="D375" t="s">
        <v>6</v>
      </c>
      <c r="E375" t="s">
        <v>648</v>
      </c>
      <c r="F375" t="s">
        <v>1010</v>
      </c>
    </row>
    <row r="376" spans="1:6" ht="273.60000000000002" x14ac:dyDescent="0.3">
      <c r="A376" t="str">
        <f>HYPERLINK("https://hsdes.intel.com/resource/14013159296","14013159296")</f>
        <v>14013159296</v>
      </c>
      <c r="B376" s="1" t="s">
        <v>1011</v>
      </c>
      <c r="C376" t="s">
        <v>1012</v>
      </c>
      <c r="D376" t="s">
        <v>6</v>
      </c>
      <c r="E376" t="s">
        <v>7</v>
      </c>
      <c r="F376" t="s">
        <v>1013</v>
      </c>
    </row>
    <row r="377" spans="1:6" x14ac:dyDescent="0.3">
      <c r="A377" t="str">
        <f>HYPERLINK("https://hsdes.intel.com/resource/14013159299","14013159299")</f>
        <v>14013159299</v>
      </c>
      <c r="B377" t="s">
        <v>1014</v>
      </c>
      <c r="C377" t="s">
        <v>1015</v>
      </c>
      <c r="D377" t="s">
        <v>6</v>
      </c>
      <c r="E377" t="s">
        <v>7</v>
      </c>
      <c r="F377" t="s">
        <v>1016</v>
      </c>
    </row>
    <row r="378" spans="1:6" x14ac:dyDescent="0.3">
      <c r="A378" t="str">
        <f>HYPERLINK("https://hsdes.intel.com/resource/14013159302","14013159302")</f>
        <v>14013159302</v>
      </c>
      <c r="B378" t="s">
        <v>1017</v>
      </c>
      <c r="C378" t="s">
        <v>1018</v>
      </c>
      <c r="D378" t="s">
        <v>6</v>
      </c>
      <c r="E378" t="s">
        <v>7</v>
      </c>
      <c r="F378" t="s">
        <v>1019</v>
      </c>
    </row>
    <row r="379" spans="1:6" x14ac:dyDescent="0.3">
      <c r="A379" t="str">
        <f>HYPERLINK("https://hsdes.intel.com/resource/14013159304","14013159304")</f>
        <v>14013159304</v>
      </c>
      <c r="B379" t="s">
        <v>1020</v>
      </c>
      <c r="C379" t="s">
        <v>1021</v>
      </c>
      <c r="D379" t="s">
        <v>22</v>
      </c>
      <c r="E379" t="s">
        <v>30</v>
      </c>
      <c r="F379" t="s">
        <v>1022</v>
      </c>
    </row>
    <row r="380" spans="1:6" x14ac:dyDescent="0.3">
      <c r="A380" t="str">
        <f>HYPERLINK("https://hsdes.intel.com/resource/14013159310","14013159310")</f>
        <v>14013159310</v>
      </c>
      <c r="B380" t="s">
        <v>1023</v>
      </c>
      <c r="C380" t="s">
        <v>1024</v>
      </c>
      <c r="D380" t="s">
        <v>22</v>
      </c>
      <c r="E380" t="s">
        <v>30</v>
      </c>
      <c r="F380" t="s">
        <v>1025</v>
      </c>
    </row>
    <row r="381" spans="1:6" x14ac:dyDescent="0.3">
      <c r="A381" t="str">
        <f>HYPERLINK("https://hsdes.intel.com/resource/14013159319","14013159319")</f>
        <v>14013159319</v>
      </c>
      <c r="B381" t="s">
        <v>1026</v>
      </c>
      <c r="C381" t="s">
        <v>1027</v>
      </c>
      <c r="D381" t="s">
        <v>22</v>
      </c>
      <c r="E381" t="s">
        <v>18</v>
      </c>
      <c r="F381" t="s">
        <v>1028</v>
      </c>
    </row>
    <row r="382" spans="1:6" x14ac:dyDescent="0.3">
      <c r="A382" t="str">
        <f>HYPERLINK("https://hsdes.intel.com/resource/14013159323","14013159323")</f>
        <v>14013159323</v>
      </c>
      <c r="B382" t="s">
        <v>1029</v>
      </c>
      <c r="C382" t="s">
        <v>1030</v>
      </c>
      <c r="D382" t="s">
        <v>22</v>
      </c>
      <c r="E382" t="s">
        <v>18</v>
      </c>
      <c r="F382" t="s">
        <v>1031</v>
      </c>
    </row>
    <row r="383" spans="1:6" x14ac:dyDescent="0.3">
      <c r="A383" t="str">
        <f>HYPERLINK("https://hsdes.intel.com/resource/14013159340","14013159340")</f>
        <v>14013159340</v>
      </c>
      <c r="B383" t="s">
        <v>1032</v>
      </c>
      <c r="C383" t="s">
        <v>1033</v>
      </c>
      <c r="D383" t="s">
        <v>6</v>
      </c>
      <c r="E383" t="s">
        <v>7</v>
      </c>
      <c r="F383" t="s">
        <v>1034</v>
      </c>
    </row>
    <row r="384" spans="1:6" x14ac:dyDescent="0.3">
      <c r="A384" t="str">
        <f>HYPERLINK("https://hsdes.intel.com/resource/14013159344","14013159344")</f>
        <v>14013159344</v>
      </c>
      <c r="B384" t="s">
        <v>1035</v>
      </c>
      <c r="C384" t="s">
        <v>1036</v>
      </c>
      <c r="D384" t="s">
        <v>6</v>
      </c>
      <c r="E384" t="s">
        <v>7</v>
      </c>
      <c r="F384" t="s">
        <v>1034</v>
      </c>
    </row>
    <row r="385" spans="1:6" x14ac:dyDescent="0.3">
      <c r="A385" t="str">
        <f>HYPERLINK("https://hsdes.intel.com/resource/14013159349","14013159349")</f>
        <v>14013159349</v>
      </c>
      <c r="B385" t="s">
        <v>1037</v>
      </c>
      <c r="C385" t="s">
        <v>1038</v>
      </c>
      <c r="D385" t="s">
        <v>6</v>
      </c>
      <c r="E385" t="s">
        <v>7</v>
      </c>
      <c r="F385" t="s">
        <v>1039</v>
      </c>
    </row>
    <row r="386" spans="1:6" x14ac:dyDescent="0.3">
      <c r="A386" t="str">
        <f>HYPERLINK("https://hsdes.intel.com/resource/14013159351","14013159351")</f>
        <v>14013159351</v>
      </c>
      <c r="B386" t="s">
        <v>1040</v>
      </c>
      <c r="C386" t="s">
        <v>1041</v>
      </c>
      <c r="D386" t="s">
        <v>6</v>
      </c>
      <c r="E386" t="s">
        <v>648</v>
      </c>
      <c r="F386" t="s">
        <v>1010</v>
      </c>
    </row>
    <row r="387" spans="1:6" x14ac:dyDescent="0.3">
      <c r="A387" t="str">
        <f>HYPERLINK("https://hsdes.intel.com/resource/14013159382","14013159382")</f>
        <v>14013159382</v>
      </c>
      <c r="B387" t="s">
        <v>1042</v>
      </c>
      <c r="C387" t="s">
        <v>1043</v>
      </c>
      <c r="D387" t="s">
        <v>6</v>
      </c>
      <c r="E387" t="s">
        <v>7</v>
      </c>
      <c r="F387" t="s">
        <v>1044</v>
      </c>
    </row>
    <row r="388" spans="1:6" x14ac:dyDescent="0.3">
      <c r="A388" t="str">
        <f>HYPERLINK("https://hsdes.intel.com/resource/14013159407","14013159407")</f>
        <v>14013159407</v>
      </c>
      <c r="B388" t="s">
        <v>1045</v>
      </c>
      <c r="C388" t="s">
        <v>1046</v>
      </c>
      <c r="D388" t="s">
        <v>6</v>
      </c>
      <c r="E388" t="s">
        <v>7</v>
      </c>
      <c r="F388" t="s">
        <v>1047</v>
      </c>
    </row>
    <row r="389" spans="1:6" x14ac:dyDescent="0.3">
      <c r="A389" t="str">
        <f>HYPERLINK("https://hsdes.intel.com/resource/14013159413","14013159413")</f>
        <v>14013159413</v>
      </c>
      <c r="B389" t="s">
        <v>1048</v>
      </c>
      <c r="C389" t="s">
        <v>1049</v>
      </c>
      <c r="D389" t="s">
        <v>6</v>
      </c>
      <c r="E389" t="s">
        <v>7</v>
      </c>
      <c r="F389" t="s">
        <v>1047</v>
      </c>
    </row>
    <row r="390" spans="1:6" x14ac:dyDescent="0.3">
      <c r="A390" t="str">
        <f>HYPERLINK("https://hsdes.intel.com/resource/14013159419","14013159419")</f>
        <v>14013159419</v>
      </c>
      <c r="B390" t="s">
        <v>1050</v>
      </c>
      <c r="C390" t="s">
        <v>1051</v>
      </c>
      <c r="D390" t="s">
        <v>6</v>
      </c>
      <c r="E390" t="s">
        <v>7</v>
      </c>
      <c r="F390" t="s">
        <v>1052</v>
      </c>
    </row>
    <row r="391" spans="1:6" x14ac:dyDescent="0.3">
      <c r="A391" t="str">
        <f>HYPERLINK("https://hsdes.intel.com/resource/14013159421","14013159421")</f>
        <v>14013159421</v>
      </c>
      <c r="B391" t="s">
        <v>1053</v>
      </c>
      <c r="C391" t="s">
        <v>1054</v>
      </c>
      <c r="D391" t="s">
        <v>6</v>
      </c>
      <c r="E391" t="s">
        <v>7</v>
      </c>
      <c r="F391" t="s">
        <v>1052</v>
      </c>
    </row>
    <row r="392" spans="1:6" x14ac:dyDescent="0.3">
      <c r="A392" t="str">
        <f>HYPERLINK("https://hsdes.intel.com/resource/14013159423","14013159423")</f>
        <v>14013159423</v>
      </c>
      <c r="B392" t="s">
        <v>1055</v>
      </c>
      <c r="C392" t="s">
        <v>1056</v>
      </c>
      <c r="D392" t="s">
        <v>6</v>
      </c>
      <c r="E392" t="s">
        <v>7</v>
      </c>
      <c r="F392" t="s">
        <v>1052</v>
      </c>
    </row>
    <row r="393" spans="1:6" x14ac:dyDescent="0.3">
      <c r="A393" t="str">
        <f>HYPERLINK("https://hsdes.intel.com/resource/14013159431","14013159431")</f>
        <v>14013159431</v>
      </c>
      <c r="B393" t="s">
        <v>1057</v>
      </c>
      <c r="C393" t="s">
        <v>1058</v>
      </c>
      <c r="D393" t="s">
        <v>6</v>
      </c>
      <c r="E393" t="s">
        <v>7</v>
      </c>
      <c r="F393" t="s">
        <v>1052</v>
      </c>
    </row>
    <row r="394" spans="1:6" x14ac:dyDescent="0.3">
      <c r="A394" t="str">
        <f>HYPERLINK("https://hsdes.intel.com/resource/14013159441","14013159441")</f>
        <v>14013159441</v>
      </c>
      <c r="B394" t="s">
        <v>1059</v>
      </c>
      <c r="C394" t="s">
        <v>1060</v>
      </c>
      <c r="D394" t="s">
        <v>6</v>
      </c>
      <c r="E394" t="s">
        <v>7</v>
      </c>
      <c r="F394" t="s">
        <v>1061</v>
      </c>
    </row>
    <row r="395" spans="1:6" x14ac:dyDescent="0.3">
      <c r="A395" t="str">
        <f>HYPERLINK("https://hsdes.intel.com/resource/14013159443","14013159443")</f>
        <v>14013159443</v>
      </c>
      <c r="B395" t="s">
        <v>1062</v>
      </c>
      <c r="C395" t="s">
        <v>1063</v>
      </c>
      <c r="D395" t="s">
        <v>6</v>
      </c>
      <c r="E395" t="s">
        <v>7</v>
      </c>
      <c r="F395" t="s">
        <v>1013</v>
      </c>
    </row>
    <row r="396" spans="1:6" x14ac:dyDescent="0.3">
      <c r="A396" t="str">
        <f>HYPERLINK("https://hsdes.intel.com/resource/14013159450","14013159450")</f>
        <v>14013159450</v>
      </c>
      <c r="B396" t="s">
        <v>1064</v>
      </c>
      <c r="C396" t="s">
        <v>1065</v>
      </c>
      <c r="D396" t="s">
        <v>6</v>
      </c>
      <c r="E396" t="s">
        <v>7</v>
      </c>
      <c r="F396" t="s">
        <v>1066</v>
      </c>
    </row>
    <row r="397" spans="1:6" x14ac:dyDescent="0.3">
      <c r="A397" t="str">
        <f>HYPERLINK("https://hsdes.intel.com/resource/14013159453","14013159453")</f>
        <v>14013159453</v>
      </c>
      <c r="B397" t="s">
        <v>1067</v>
      </c>
      <c r="C397" t="s">
        <v>1068</v>
      </c>
      <c r="D397" t="s">
        <v>6</v>
      </c>
      <c r="E397" t="s">
        <v>7</v>
      </c>
      <c r="F397" t="s">
        <v>833</v>
      </c>
    </row>
    <row r="398" spans="1:6" x14ac:dyDescent="0.3">
      <c r="A398" t="str">
        <f>HYPERLINK("https://hsdes.intel.com/resource/14013159460","14013159460")</f>
        <v>14013159460</v>
      </c>
      <c r="B398" t="s">
        <v>1069</v>
      </c>
      <c r="C398" t="s">
        <v>1070</v>
      </c>
      <c r="D398" t="s">
        <v>6</v>
      </c>
      <c r="E398" t="s">
        <v>7</v>
      </c>
      <c r="F398" t="s">
        <v>1013</v>
      </c>
    </row>
    <row r="399" spans="1:6" x14ac:dyDescent="0.3">
      <c r="A399" t="str">
        <f>HYPERLINK("https://hsdes.intel.com/resource/14013159478","14013159478")</f>
        <v>14013159478</v>
      </c>
      <c r="B399" t="s">
        <v>1071</v>
      </c>
      <c r="C399" t="s">
        <v>1072</v>
      </c>
      <c r="D399" t="s">
        <v>6</v>
      </c>
      <c r="E399" t="s">
        <v>7</v>
      </c>
      <c r="F399" t="s">
        <v>1052</v>
      </c>
    </row>
    <row r="400" spans="1:6" x14ac:dyDescent="0.3">
      <c r="A400" t="str">
        <f>HYPERLINK("https://hsdes.intel.com/resource/14013159482","14013159482")</f>
        <v>14013159482</v>
      </c>
      <c r="B400" t="s">
        <v>1073</v>
      </c>
      <c r="C400" t="s">
        <v>1074</v>
      </c>
      <c r="D400" t="s">
        <v>6</v>
      </c>
      <c r="E400" t="s">
        <v>7</v>
      </c>
      <c r="F400" t="s">
        <v>1034</v>
      </c>
    </row>
    <row r="401" spans="1:6" x14ac:dyDescent="0.3">
      <c r="A401" t="str">
        <f>HYPERLINK("https://hsdes.intel.com/resource/14013159493","14013159493")</f>
        <v>14013159493</v>
      </c>
      <c r="B401" t="s">
        <v>1075</v>
      </c>
      <c r="C401" t="s">
        <v>1076</v>
      </c>
      <c r="D401" t="s">
        <v>6</v>
      </c>
      <c r="E401" t="s">
        <v>7</v>
      </c>
      <c r="F401" t="s">
        <v>1034</v>
      </c>
    </row>
    <row r="402" spans="1:6" x14ac:dyDescent="0.3">
      <c r="A402" t="str">
        <f>HYPERLINK("https://hsdes.intel.com/resource/14013159498","14013159498")</f>
        <v>14013159498</v>
      </c>
      <c r="B402" t="s">
        <v>1077</v>
      </c>
      <c r="C402" t="s">
        <v>1078</v>
      </c>
      <c r="D402" t="s">
        <v>6</v>
      </c>
      <c r="E402" t="s">
        <v>7</v>
      </c>
      <c r="F402" t="s">
        <v>1013</v>
      </c>
    </row>
    <row r="403" spans="1:6" x14ac:dyDescent="0.3">
      <c r="A403" t="str">
        <f>HYPERLINK("https://hsdes.intel.com/resource/14013159500","14013159500")</f>
        <v>14013159500</v>
      </c>
      <c r="B403" t="s">
        <v>1079</v>
      </c>
      <c r="C403" t="s">
        <v>1080</v>
      </c>
      <c r="D403" t="s">
        <v>6</v>
      </c>
      <c r="E403" t="s">
        <v>7</v>
      </c>
      <c r="F403" t="s">
        <v>1061</v>
      </c>
    </row>
    <row r="404" spans="1:6" x14ac:dyDescent="0.3">
      <c r="A404" t="str">
        <f>HYPERLINK("https://hsdes.intel.com/resource/14013159503","14013159503")</f>
        <v>14013159503</v>
      </c>
      <c r="B404" t="s">
        <v>1081</v>
      </c>
      <c r="C404" t="s">
        <v>1082</v>
      </c>
      <c r="D404" t="s">
        <v>6</v>
      </c>
      <c r="E404" t="s">
        <v>7</v>
      </c>
      <c r="F404" t="s">
        <v>1013</v>
      </c>
    </row>
    <row r="405" spans="1:6" x14ac:dyDescent="0.3">
      <c r="A405" t="str">
        <f>HYPERLINK("https://hsdes.intel.com/resource/14013159505","14013159505")</f>
        <v>14013159505</v>
      </c>
      <c r="B405" t="s">
        <v>1083</v>
      </c>
      <c r="C405" t="s">
        <v>1084</v>
      </c>
      <c r="D405" t="s">
        <v>6</v>
      </c>
      <c r="E405" t="s">
        <v>7</v>
      </c>
      <c r="F405" t="s">
        <v>1061</v>
      </c>
    </row>
    <row r="406" spans="1:6" x14ac:dyDescent="0.3">
      <c r="A406" t="str">
        <f>HYPERLINK("https://hsdes.intel.com/resource/14013159507","14013159507")</f>
        <v>14013159507</v>
      </c>
      <c r="B406" t="s">
        <v>1085</v>
      </c>
      <c r="C406" t="s">
        <v>1086</v>
      </c>
      <c r="D406" t="s">
        <v>6</v>
      </c>
      <c r="E406" t="s">
        <v>7</v>
      </c>
      <c r="F406" t="s">
        <v>1013</v>
      </c>
    </row>
    <row r="407" spans="1:6" ht="201.6" x14ac:dyDescent="0.3">
      <c r="A407" t="str">
        <f>HYPERLINK("https://hsdes.intel.com/resource/14013159519","14013159519")</f>
        <v>14013159519</v>
      </c>
      <c r="B407" s="1" t="s">
        <v>1087</v>
      </c>
      <c r="C407" t="s">
        <v>1088</v>
      </c>
      <c r="D407" t="s">
        <v>6</v>
      </c>
      <c r="E407" t="s">
        <v>7</v>
      </c>
      <c r="F407" t="s">
        <v>833</v>
      </c>
    </row>
    <row r="408" spans="1:6" x14ac:dyDescent="0.3">
      <c r="A408" t="str">
        <f>HYPERLINK("https://hsdes.intel.com/resource/14013159554","14013159554")</f>
        <v>14013159554</v>
      </c>
      <c r="B408" t="s">
        <v>1089</v>
      </c>
      <c r="C408" t="s">
        <v>1090</v>
      </c>
      <c r="D408" t="s">
        <v>6</v>
      </c>
      <c r="E408" t="s">
        <v>7</v>
      </c>
      <c r="F408" t="s">
        <v>1034</v>
      </c>
    </row>
    <row r="409" spans="1:6" x14ac:dyDescent="0.3">
      <c r="A409" t="str">
        <f>HYPERLINK("https://hsdes.intel.com/resource/14013159561","14013159561")</f>
        <v>14013159561</v>
      </c>
      <c r="B409" t="s">
        <v>1091</v>
      </c>
      <c r="C409" t="s">
        <v>1092</v>
      </c>
      <c r="D409" t="s">
        <v>6</v>
      </c>
      <c r="E409" t="s">
        <v>7</v>
      </c>
      <c r="F409" t="s">
        <v>1047</v>
      </c>
    </row>
    <row r="410" spans="1:6" x14ac:dyDescent="0.3">
      <c r="A410" t="str">
        <f>HYPERLINK("https://hsdes.intel.com/resource/14013159563","14013159563")</f>
        <v>14013159563</v>
      </c>
      <c r="B410" t="s">
        <v>1093</v>
      </c>
      <c r="C410" t="s">
        <v>1094</v>
      </c>
      <c r="D410" t="s">
        <v>6</v>
      </c>
      <c r="E410" t="s">
        <v>7</v>
      </c>
      <c r="F410" t="s">
        <v>1047</v>
      </c>
    </row>
    <row r="411" spans="1:6" x14ac:dyDescent="0.3">
      <c r="A411" t="str">
        <f>HYPERLINK("https://hsdes.intel.com/resource/14013159565","14013159565")</f>
        <v>14013159565</v>
      </c>
      <c r="B411" t="s">
        <v>1095</v>
      </c>
      <c r="C411" t="s">
        <v>1096</v>
      </c>
      <c r="D411" t="s">
        <v>6</v>
      </c>
      <c r="E411" t="s">
        <v>7</v>
      </c>
      <c r="F411" t="s">
        <v>1047</v>
      </c>
    </row>
    <row r="412" spans="1:6" x14ac:dyDescent="0.3">
      <c r="A412" t="str">
        <f>HYPERLINK("https://hsdes.intel.com/resource/14013159568","14013159568")</f>
        <v>14013159568</v>
      </c>
      <c r="B412" t="s">
        <v>1097</v>
      </c>
      <c r="C412" t="s">
        <v>1098</v>
      </c>
      <c r="D412" t="s">
        <v>6</v>
      </c>
      <c r="E412" t="s">
        <v>7</v>
      </c>
      <c r="F412" t="s">
        <v>1047</v>
      </c>
    </row>
    <row r="413" spans="1:6" x14ac:dyDescent="0.3">
      <c r="A413" t="str">
        <f>HYPERLINK("https://hsdes.intel.com/resource/14013159581","14013159581")</f>
        <v>14013159581</v>
      </c>
      <c r="B413" t="s">
        <v>1099</v>
      </c>
      <c r="C413" t="s">
        <v>1100</v>
      </c>
      <c r="D413" t="s">
        <v>6</v>
      </c>
      <c r="E413" t="s">
        <v>7</v>
      </c>
      <c r="F413" t="s">
        <v>1061</v>
      </c>
    </row>
    <row r="414" spans="1:6" x14ac:dyDescent="0.3">
      <c r="A414" t="str">
        <f>HYPERLINK("https://hsdes.intel.com/resource/14013159584","14013159584")</f>
        <v>14013159584</v>
      </c>
      <c r="B414" t="s">
        <v>1101</v>
      </c>
      <c r="C414" t="s">
        <v>1102</v>
      </c>
      <c r="D414" t="s">
        <v>6</v>
      </c>
      <c r="E414" t="s">
        <v>7</v>
      </c>
      <c r="F414" t="s">
        <v>1013</v>
      </c>
    </row>
    <row r="415" spans="1:6" x14ac:dyDescent="0.3">
      <c r="A415" t="str">
        <f>HYPERLINK("https://hsdes.intel.com/resource/14013159587","14013159587")</f>
        <v>14013159587</v>
      </c>
      <c r="B415" t="s">
        <v>1103</v>
      </c>
      <c r="C415" t="s">
        <v>1104</v>
      </c>
      <c r="D415" t="s">
        <v>6</v>
      </c>
      <c r="E415" t="s">
        <v>7</v>
      </c>
      <c r="F415" t="s">
        <v>1061</v>
      </c>
    </row>
    <row r="416" spans="1:6" x14ac:dyDescent="0.3">
      <c r="A416" t="str">
        <f>HYPERLINK("https://hsdes.intel.com/resource/14013159601","14013159601")</f>
        <v>14013159601</v>
      </c>
      <c r="B416" t="s">
        <v>1105</v>
      </c>
      <c r="C416" t="s">
        <v>1106</v>
      </c>
      <c r="D416" t="s">
        <v>6</v>
      </c>
      <c r="E416" t="s">
        <v>648</v>
      </c>
      <c r="F416" t="s">
        <v>1010</v>
      </c>
    </row>
    <row r="417" spans="1:6" x14ac:dyDescent="0.3">
      <c r="A417" t="str">
        <f>HYPERLINK("https://hsdes.intel.com/resource/14013159637","14013159637")</f>
        <v>14013159637</v>
      </c>
      <c r="B417" t="s">
        <v>1107</v>
      </c>
      <c r="C417" t="s">
        <v>1108</v>
      </c>
      <c r="D417" t="s">
        <v>6</v>
      </c>
      <c r="E417" t="s">
        <v>7</v>
      </c>
      <c r="F417" t="s">
        <v>1047</v>
      </c>
    </row>
    <row r="418" spans="1:6" x14ac:dyDescent="0.3">
      <c r="A418" t="str">
        <f>HYPERLINK("https://hsdes.intel.com/resource/14013159644","14013159644")</f>
        <v>14013159644</v>
      </c>
      <c r="B418" t="s">
        <v>1109</v>
      </c>
      <c r="C418" t="s">
        <v>1110</v>
      </c>
      <c r="D418" t="s">
        <v>6</v>
      </c>
      <c r="E418" t="s">
        <v>7</v>
      </c>
      <c r="F418" t="s">
        <v>1013</v>
      </c>
    </row>
    <row r="419" spans="1:6" x14ac:dyDescent="0.3">
      <c r="A419" t="str">
        <f>HYPERLINK("https://hsdes.intel.com/resource/14013159645","14013159645")</f>
        <v>14013159645</v>
      </c>
      <c r="B419" t="s">
        <v>1111</v>
      </c>
      <c r="C419" t="s">
        <v>1112</v>
      </c>
      <c r="D419" t="s">
        <v>6</v>
      </c>
      <c r="E419" t="s">
        <v>7</v>
      </c>
      <c r="F419" t="s">
        <v>1013</v>
      </c>
    </row>
    <row r="420" spans="1:6" x14ac:dyDescent="0.3">
      <c r="A420" t="str">
        <f>HYPERLINK("https://hsdes.intel.com/resource/14013159647","14013159647")</f>
        <v>14013159647</v>
      </c>
      <c r="B420" t="s">
        <v>1113</v>
      </c>
      <c r="C420" t="s">
        <v>1114</v>
      </c>
      <c r="D420" t="s">
        <v>6</v>
      </c>
      <c r="E420" t="s">
        <v>648</v>
      </c>
      <c r="F420" t="s">
        <v>1115</v>
      </c>
    </row>
    <row r="421" spans="1:6" x14ac:dyDescent="0.3">
      <c r="A421" t="str">
        <f>HYPERLINK("https://hsdes.intel.com/resource/14013159649","14013159649")</f>
        <v>14013159649</v>
      </c>
      <c r="B421" t="s">
        <v>1116</v>
      </c>
      <c r="C421" t="s">
        <v>1117</v>
      </c>
      <c r="D421" t="s">
        <v>6</v>
      </c>
      <c r="E421" t="s">
        <v>7</v>
      </c>
      <c r="F421" t="s">
        <v>1013</v>
      </c>
    </row>
    <row r="422" spans="1:6" x14ac:dyDescent="0.3">
      <c r="A422" t="str">
        <f>HYPERLINK("https://hsdes.intel.com/resource/14013159652","14013159652")</f>
        <v>14013159652</v>
      </c>
      <c r="B422" t="s">
        <v>1118</v>
      </c>
      <c r="C422" t="s">
        <v>1119</v>
      </c>
      <c r="D422" t="s">
        <v>6</v>
      </c>
      <c r="E422" t="s">
        <v>7</v>
      </c>
      <c r="F422" t="s">
        <v>1061</v>
      </c>
    </row>
    <row r="423" spans="1:6" x14ac:dyDescent="0.3">
      <c r="A423" t="str">
        <f>HYPERLINK("https://hsdes.intel.com/resource/14013159654","14013159654")</f>
        <v>14013159654</v>
      </c>
      <c r="B423" t="s">
        <v>1120</v>
      </c>
      <c r="C423" t="s">
        <v>1121</v>
      </c>
      <c r="D423" t="s">
        <v>6</v>
      </c>
      <c r="E423" t="s">
        <v>7</v>
      </c>
      <c r="F423" t="s">
        <v>1013</v>
      </c>
    </row>
    <row r="424" spans="1:6" x14ac:dyDescent="0.3">
      <c r="A424" t="str">
        <f>HYPERLINK("https://hsdes.intel.com/resource/14013159662","14013159662")</f>
        <v>14013159662</v>
      </c>
      <c r="B424" t="s">
        <v>1122</v>
      </c>
      <c r="C424" t="s">
        <v>1123</v>
      </c>
      <c r="D424" t="s">
        <v>6</v>
      </c>
      <c r="E424" t="s">
        <v>648</v>
      </c>
      <c r="F424" t="s">
        <v>1010</v>
      </c>
    </row>
    <row r="425" spans="1:6" x14ac:dyDescent="0.3">
      <c r="A425" t="str">
        <f>HYPERLINK("https://hsdes.intel.com/resource/14013159682","14013159682")</f>
        <v>14013159682</v>
      </c>
      <c r="B425" t="s">
        <v>1124</v>
      </c>
      <c r="C425" t="s">
        <v>1125</v>
      </c>
      <c r="D425" t="s">
        <v>142</v>
      </c>
      <c r="E425" t="s">
        <v>63</v>
      </c>
      <c r="F425" t="s">
        <v>865</v>
      </c>
    </row>
    <row r="426" spans="1:6" x14ac:dyDescent="0.3">
      <c r="A426" t="str">
        <f>HYPERLINK("https://hsdes.intel.com/resource/14013159687","14013159687")</f>
        <v>14013159687</v>
      </c>
      <c r="B426" t="s">
        <v>1126</v>
      </c>
      <c r="C426" t="s">
        <v>1127</v>
      </c>
      <c r="D426" t="s">
        <v>142</v>
      </c>
      <c r="E426" t="s">
        <v>63</v>
      </c>
      <c r="F426" t="s">
        <v>1013</v>
      </c>
    </row>
    <row r="427" spans="1:6" x14ac:dyDescent="0.3">
      <c r="A427" t="str">
        <f>HYPERLINK("https://hsdes.intel.com/resource/14013159696","14013159696")</f>
        <v>14013159696</v>
      </c>
      <c r="B427" t="s">
        <v>1128</v>
      </c>
      <c r="C427" t="s">
        <v>1129</v>
      </c>
      <c r="D427" t="s">
        <v>6</v>
      </c>
      <c r="E427" t="s">
        <v>7</v>
      </c>
      <c r="F427" t="s">
        <v>1130</v>
      </c>
    </row>
    <row r="428" spans="1:6" x14ac:dyDescent="0.3">
      <c r="A428" t="str">
        <f>HYPERLINK("https://hsdes.intel.com/resource/14013159700","14013159700")</f>
        <v>14013159700</v>
      </c>
      <c r="B428" t="s">
        <v>1131</v>
      </c>
      <c r="C428" t="s">
        <v>1132</v>
      </c>
      <c r="D428" t="s">
        <v>6</v>
      </c>
      <c r="E428" t="s">
        <v>7</v>
      </c>
      <c r="F428" t="s">
        <v>1133</v>
      </c>
    </row>
    <row r="429" spans="1:6" x14ac:dyDescent="0.3">
      <c r="A429" t="str">
        <f>HYPERLINK("https://hsdes.intel.com/resource/14013159702","14013159702")</f>
        <v>14013159702</v>
      </c>
      <c r="B429" t="s">
        <v>1134</v>
      </c>
      <c r="C429" t="s">
        <v>1135</v>
      </c>
      <c r="D429" t="s">
        <v>6</v>
      </c>
      <c r="E429" t="s">
        <v>7</v>
      </c>
      <c r="F429" t="s">
        <v>1133</v>
      </c>
    </row>
    <row r="430" spans="1:6" x14ac:dyDescent="0.3">
      <c r="A430" t="str">
        <f>HYPERLINK("https://hsdes.intel.com/resource/14013159709","14013159709")</f>
        <v>14013159709</v>
      </c>
      <c r="B430" t="s">
        <v>1136</v>
      </c>
      <c r="C430" t="s">
        <v>1137</v>
      </c>
      <c r="D430" t="s">
        <v>6</v>
      </c>
      <c r="E430" t="s">
        <v>7</v>
      </c>
      <c r="F430" t="s">
        <v>626</v>
      </c>
    </row>
    <row r="431" spans="1:6" x14ac:dyDescent="0.3">
      <c r="A431" t="str">
        <f>HYPERLINK("https://hsdes.intel.com/resource/14013159714","14013159714")</f>
        <v>14013159714</v>
      </c>
      <c r="B431" t="s">
        <v>1138</v>
      </c>
      <c r="C431" t="s">
        <v>1139</v>
      </c>
      <c r="D431" t="s">
        <v>6</v>
      </c>
      <c r="E431" t="s">
        <v>7</v>
      </c>
      <c r="F431" t="s">
        <v>626</v>
      </c>
    </row>
    <row r="432" spans="1:6" x14ac:dyDescent="0.3">
      <c r="A432" t="str">
        <f>HYPERLINK("https://hsdes.intel.com/resource/14013159726","14013159726")</f>
        <v>14013159726</v>
      </c>
      <c r="B432" t="s">
        <v>1140</v>
      </c>
      <c r="C432" t="s">
        <v>1141</v>
      </c>
      <c r="D432" t="s">
        <v>142</v>
      </c>
      <c r="E432" t="s">
        <v>63</v>
      </c>
      <c r="F432" t="s">
        <v>865</v>
      </c>
    </row>
    <row r="433" spans="1:6" x14ac:dyDescent="0.3">
      <c r="A433" t="str">
        <f>HYPERLINK("https://hsdes.intel.com/resource/14013159812","14013159812")</f>
        <v>14013159812</v>
      </c>
      <c r="B433" t="s">
        <v>1142</v>
      </c>
      <c r="C433" t="s">
        <v>1143</v>
      </c>
      <c r="D433" t="s">
        <v>17</v>
      </c>
      <c r="E433" t="s">
        <v>30</v>
      </c>
      <c r="F433" t="s">
        <v>1144</v>
      </c>
    </row>
    <row r="434" spans="1:6" x14ac:dyDescent="0.3">
      <c r="A434" t="str">
        <f>HYPERLINK("https://hsdes.intel.com/resource/14013159852","14013159852")</f>
        <v>14013159852</v>
      </c>
      <c r="B434" t="s">
        <v>1145</v>
      </c>
      <c r="C434" t="s">
        <v>1146</v>
      </c>
      <c r="D434" t="s">
        <v>22</v>
      </c>
      <c r="E434" t="s">
        <v>18</v>
      </c>
      <c r="F434" t="s">
        <v>1147</v>
      </c>
    </row>
    <row r="435" spans="1:6" x14ac:dyDescent="0.3">
      <c r="A435" t="str">
        <f>HYPERLINK("https://hsdes.intel.com/resource/14013159858","14013159858")</f>
        <v>14013159858</v>
      </c>
      <c r="B435" t="s">
        <v>1148</v>
      </c>
      <c r="C435" t="s">
        <v>1149</v>
      </c>
      <c r="D435" t="s">
        <v>6</v>
      </c>
      <c r="E435" t="s">
        <v>648</v>
      </c>
      <c r="F435" t="s">
        <v>1150</v>
      </c>
    </row>
    <row r="436" spans="1:6" x14ac:dyDescent="0.3">
      <c r="A436" t="str">
        <f>HYPERLINK("https://hsdes.intel.com/resource/14013159862","14013159862")</f>
        <v>14013159862</v>
      </c>
      <c r="B436" t="s">
        <v>1151</v>
      </c>
      <c r="C436" t="s">
        <v>1152</v>
      </c>
      <c r="D436" t="s">
        <v>6</v>
      </c>
      <c r="E436" t="s">
        <v>648</v>
      </c>
      <c r="F436" t="s">
        <v>1153</v>
      </c>
    </row>
    <row r="437" spans="1:6" x14ac:dyDescent="0.3">
      <c r="A437" t="str">
        <f>HYPERLINK("https://hsdes.intel.com/resource/14013159864","14013159864")</f>
        <v>14013159864</v>
      </c>
      <c r="B437" t="s">
        <v>1154</v>
      </c>
      <c r="C437" t="s">
        <v>1155</v>
      </c>
      <c r="D437" t="s">
        <v>6</v>
      </c>
      <c r="E437" t="s">
        <v>7</v>
      </c>
      <c r="F437" t="s">
        <v>1156</v>
      </c>
    </row>
    <row r="438" spans="1:6" x14ac:dyDescent="0.3">
      <c r="A438" t="str">
        <f>HYPERLINK("https://hsdes.intel.com/resource/14013159868","14013159868")</f>
        <v>14013159868</v>
      </c>
      <c r="B438" t="s">
        <v>1157</v>
      </c>
      <c r="C438" t="s">
        <v>1158</v>
      </c>
      <c r="D438" t="s">
        <v>6</v>
      </c>
      <c r="E438" t="s">
        <v>898</v>
      </c>
      <c r="F438" t="s">
        <v>1159</v>
      </c>
    </row>
    <row r="439" spans="1:6" x14ac:dyDescent="0.3">
      <c r="A439" t="str">
        <f>HYPERLINK("https://hsdes.intel.com/resource/14013159870","14013159870")</f>
        <v>14013159870</v>
      </c>
      <c r="B439" t="s">
        <v>1160</v>
      </c>
      <c r="C439" t="s">
        <v>1161</v>
      </c>
      <c r="D439" t="s">
        <v>6</v>
      </c>
      <c r="E439" t="s">
        <v>7</v>
      </c>
      <c r="F439" t="s">
        <v>626</v>
      </c>
    </row>
    <row r="440" spans="1:6" x14ac:dyDescent="0.3">
      <c r="A440" t="str">
        <f>HYPERLINK("https://hsdes.intel.com/resource/14013159874","14013159874")</f>
        <v>14013159874</v>
      </c>
      <c r="B440" t="s">
        <v>1162</v>
      </c>
      <c r="C440" t="s">
        <v>1163</v>
      </c>
      <c r="D440" t="s">
        <v>6</v>
      </c>
      <c r="E440" t="s">
        <v>7</v>
      </c>
      <c r="F440" t="s">
        <v>1164</v>
      </c>
    </row>
    <row r="441" spans="1:6" x14ac:dyDescent="0.3">
      <c r="A441" t="str">
        <f>HYPERLINK("https://hsdes.intel.com/resource/14013159876","14013159876")</f>
        <v>14013159876</v>
      </c>
      <c r="B441" t="s">
        <v>1165</v>
      </c>
      <c r="C441" t="s">
        <v>1166</v>
      </c>
      <c r="D441" t="s">
        <v>6</v>
      </c>
      <c r="E441" t="s">
        <v>7</v>
      </c>
      <c r="F441" t="s">
        <v>1167</v>
      </c>
    </row>
    <row r="442" spans="1:6" x14ac:dyDescent="0.3">
      <c r="A442" t="str">
        <f>HYPERLINK("https://hsdes.intel.com/resource/14013159881","14013159881")</f>
        <v>14013159881</v>
      </c>
      <c r="B442" t="s">
        <v>1168</v>
      </c>
      <c r="C442" t="s">
        <v>1169</v>
      </c>
      <c r="D442" t="s">
        <v>6</v>
      </c>
      <c r="E442" t="s">
        <v>1170</v>
      </c>
      <c r="F442" t="s">
        <v>1171</v>
      </c>
    </row>
    <row r="443" spans="1:6" x14ac:dyDescent="0.3">
      <c r="A443" t="str">
        <f>HYPERLINK("https://hsdes.intel.com/resource/14013159884","14013159884")</f>
        <v>14013159884</v>
      </c>
      <c r="B443" t="s">
        <v>1172</v>
      </c>
      <c r="C443" t="s">
        <v>1173</v>
      </c>
      <c r="D443" t="s">
        <v>6</v>
      </c>
      <c r="E443" t="s">
        <v>1170</v>
      </c>
      <c r="F443" t="s">
        <v>1174</v>
      </c>
    </row>
    <row r="444" spans="1:6" x14ac:dyDescent="0.3">
      <c r="A444" t="str">
        <f>HYPERLINK("https://hsdes.intel.com/resource/14013159887","14013159887")</f>
        <v>14013159887</v>
      </c>
      <c r="B444" t="s">
        <v>1175</v>
      </c>
      <c r="C444" t="s">
        <v>1176</v>
      </c>
      <c r="D444" t="s">
        <v>6</v>
      </c>
      <c r="E444" t="s">
        <v>7</v>
      </c>
      <c r="F444" t="s">
        <v>1133</v>
      </c>
    </row>
    <row r="445" spans="1:6" x14ac:dyDescent="0.3">
      <c r="A445" t="str">
        <f>HYPERLINK("https://hsdes.intel.com/resource/14013159889","14013159889")</f>
        <v>14013159889</v>
      </c>
      <c r="B445" t="s">
        <v>1177</v>
      </c>
      <c r="C445" t="s">
        <v>1178</v>
      </c>
      <c r="D445" t="s">
        <v>6</v>
      </c>
      <c r="E445" t="s">
        <v>7</v>
      </c>
      <c r="F445" t="s">
        <v>1179</v>
      </c>
    </row>
    <row r="446" spans="1:6" x14ac:dyDescent="0.3">
      <c r="A446" t="str">
        <f>HYPERLINK("https://hsdes.intel.com/resource/14013159897","14013159897")</f>
        <v>14013159897</v>
      </c>
      <c r="B446" t="s">
        <v>1180</v>
      </c>
      <c r="C446" t="s">
        <v>1181</v>
      </c>
      <c r="D446" t="s">
        <v>6</v>
      </c>
      <c r="E446" t="s">
        <v>1170</v>
      </c>
      <c r="F446" t="s">
        <v>1171</v>
      </c>
    </row>
    <row r="447" spans="1:6" x14ac:dyDescent="0.3">
      <c r="A447" t="str">
        <f>HYPERLINK("https://hsdes.intel.com/resource/14013159899","14013159899")</f>
        <v>14013159899</v>
      </c>
      <c r="B447" t="s">
        <v>1182</v>
      </c>
      <c r="C447" t="s">
        <v>1183</v>
      </c>
      <c r="D447" t="s">
        <v>6</v>
      </c>
      <c r="E447" t="s">
        <v>7</v>
      </c>
      <c r="F447" t="s">
        <v>1164</v>
      </c>
    </row>
    <row r="448" spans="1:6" x14ac:dyDescent="0.3">
      <c r="A448" t="str">
        <f>HYPERLINK("https://hsdes.intel.com/resource/14013159904","14013159904")</f>
        <v>14013159904</v>
      </c>
      <c r="B448" t="s">
        <v>1184</v>
      </c>
      <c r="C448" t="s">
        <v>1185</v>
      </c>
      <c r="D448" t="s">
        <v>6</v>
      </c>
      <c r="E448" t="s">
        <v>648</v>
      </c>
      <c r="F448" t="s">
        <v>1186</v>
      </c>
    </row>
    <row r="449" spans="1:6" x14ac:dyDescent="0.3">
      <c r="A449" t="str">
        <f>HYPERLINK("https://hsdes.intel.com/resource/14013159907","14013159907")</f>
        <v>14013159907</v>
      </c>
      <c r="B449" t="s">
        <v>1187</v>
      </c>
      <c r="C449" t="s">
        <v>1188</v>
      </c>
      <c r="D449" t="s">
        <v>6</v>
      </c>
      <c r="E449" t="s">
        <v>648</v>
      </c>
      <c r="F449" t="s">
        <v>1153</v>
      </c>
    </row>
    <row r="450" spans="1:6" x14ac:dyDescent="0.3">
      <c r="A450" t="str">
        <f>HYPERLINK("https://hsdes.intel.com/resource/14013159909","14013159909")</f>
        <v>14013159909</v>
      </c>
      <c r="B450" t="s">
        <v>1189</v>
      </c>
      <c r="C450" t="s">
        <v>1190</v>
      </c>
      <c r="D450" t="s">
        <v>6</v>
      </c>
      <c r="E450" t="s">
        <v>648</v>
      </c>
      <c r="F450" t="s">
        <v>1186</v>
      </c>
    </row>
    <row r="451" spans="1:6" x14ac:dyDescent="0.3">
      <c r="A451" t="str">
        <f>HYPERLINK("https://hsdes.intel.com/resource/14013159912","14013159912")</f>
        <v>14013159912</v>
      </c>
      <c r="B451" t="s">
        <v>1191</v>
      </c>
      <c r="C451" t="s">
        <v>1192</v>
      </c>
      <c r="D451" t="s">
        <v>6</v>
      </c>
      <c r="E451" t="s">
        <v>7</v>
      </c>
      <c r="F451" t="s">
        <v>1193</v>
      </c>
    </row>
    <row r="452" spans="1:6" x14ac:dyDescent="0.3">
      <c r="A452" t="str">
        <f>HYPERLINK("https://hsdes.intel.com/resource/14013159914","14013159914")</f>
        <v>14013159914</v>
      </c>
      <c r="B452" t="s">
        <v>1194</v>
      </c>
      <c r="C452" t="s">
        <v>1195</v>
      </c>
      <c r="D452" t="s">
        <v>6</v>
      </c>
      <c r="E452" t="s">
        <v>7</v>
      </c>
      <c r="F452" t="s">
        <v>1156</v>
      </c>
    </row>
    <row r="453" spans="1:6" x14ac:dyDescent="0.3">
      <c r="A453" t="str">
        <f>HYPERLINK("https://hsdes.intel.com/resource/14013159917","14013159917")</f>
        <v>14013159917</v>
      </c>
      <c r="B453" t="s">
        <v>1196</v>
      </c>
      <c r="C453" t="s">
        <v>1197</v>
      </c>
      <c r="D453" t="s">
        <v>6</v>
      </c>
      <c r="E453" t="s">
        <v>898</v>
      </c>
      <c r="F453" t="s">
        <v>1159</v>
      </c>
    </row>
    <row r="454" spans="1:6" x14ac:dyDescent="0.3">
      <c r="A454" t="str">
        <f>HYPERLINK("https://hsdes.intel.com/resource/14013159920","14013159920")</f>
        <v>14013159920</v>
      </c>
      <c r="B454" t="s">
        <v>1198</v>
      </c>
      <c r="C454" t="s">
        <v>1199</v>
      </c>
      <c r="D454" t="s">
        <v>6</v>
      </c>
      <c r="E454" t="s">
        <v>898</v>
      </c>
      <c r="F454" t="s">
        <v>1159</v>
      </c>
    </row>
    <row r="455" spans="1:6" x14ac:dyDescent="0.3">
      <c r="A455" t="str">
        <f>HYPERLINK("https://hsdes.intel.com/resource/14013159923","14013159923")</f>
        <v>14013159923</v>
      </c>
      <c r="B455" t="s">
        <v>1200</v>
      </c>
      <c r="C455" t="s">
        <v>1201</v>
      </c>
      <c r="D455" t="s">
        <v>6</v>
      </c>
      <c r="E455" t="s">
        <v>898</v>
      </c>
      <c r="F455" t="s">
        <v>1159</v>
      </c>
    </row>
    <row r="456" spans="1:6" x14ac:dyDescent="0.3">
      <c r="A456" t="str">
        <f>HYPERLINK("https://hsdes.intel.com/resource/14013159925","14013159925")</f>
        <v>14013159925</v>
      </c>
      <c r="B456" t="s">
        <v>1202</v>
      </c>
      <c r="C456" t="s">
        <v>1203</v>
      </c>
      <c r="D456" t="s">
        <v>6</v>
      </c>
      <c r="E456" t="s">
        <v>7</v>
      </c>
      <c r="F456" t="s">
        <v>626</v>
      </c>
    </row>
    <row r="457" spans="1:6" x14ac:dyDescent="0.3">
      <c r="A457" t="str">
        <f>HYPERLINK("https://hsdes.intel.com/resource/14013159928","14013159928")</f>
        <v>14013159928</v>
      </c>
      <c r="B457" t="s">
        <v>1204</v>
      </c>
      <c r="C457" t="s">
        <v>1205</v>
      </c>
      <c r="D457" t="s">
        <v>6</v>
      </c>
      <c r="E457" t="s">
        <v>898</v>
      </c>
      <c r="F457" t="s">
        <v>1206</v>
      </c>
    </row>
    <row r="458" spans="1:6" x14ac:dyDescent="0.3">
      <c r="A458" t="str">
        <f>HYPERLINK("https://hsdes.intel.com/resource/14013159940","14013159940")</f>
        <v>14013159940</v>
      </c>
      <c r="B458" t="s">
        <v>1207</v>
      </c>
      <c r="C458" t="s">
        <v>1208</v>
      </c>
      <c r="D458" t="s">
        <v>17</v>
      </c>
      <c r="E458" t="s">
        <v>30</v>
      </c>
      <c r="F458" t="s">
        <v>1209</v>
      </c>
    </row>
    <row r="459" spans="1:6" x14ac:dyDescent="0.3">
      <c r="A459" t="str">
        <f>HYPERLINK("https://hsdes.intel.com/resource/14013159952","14013159952")</f>
        <v>14013159952</v>
      </c>
      <c r="B459" t="s">
        <v>1210</v>
      </c>
      <c r="C459" t="s">
        <v>1211</v>
      </c>
      <c r="D459" t="s">
        <v>6</v>
      </c>
      <c r="E459" t="s">
        <v>1170</v>
      </c>
      <c r="F459" t="s">
        <v>1171</v>
      </c>
    </row>
    <row r="460" spans="1:6" x14ac:dyDescent="0.3">
      <c r="A460" t="str">
        <f>HYPERLINK("https://hsdes.intel.com/resource/14013159954","14013159954")</f>
        <v>14013159954</v>
      </c>
      <c r="B460" t="s">
        <v>1212</v>
      </c>
      <c r="C460" t="s">
        <v>1213</v>
      </c>
      <c r="D460" t="s">
        <v>6</v>
      </c>
      <c r="E460" t="s">
        <v>1170</v>
      </c>
      <c r="F460" t="s">
        <v>1174</v>
      </c>
    </row>
    <row r="461" spans="1:6" x14ac:dyDescent="0.3">
      <c r="A461" t="str">
        <f>HYPERLINK("https://hsdes.intel.com/resource/14013159961","14013159961")</f>
        <v>14013159961</v>
      </c>
      <c r="B461" t="s">
        <v>1214</v>
      </c>
      <c r="C461" t="s">
        <v>1215</v>
      </c>
      <c r="D461" t="s">
        <v>6</v>
      </c>
      <c r="E461" t="s">
        <v>648</v>
      </c>
      <c r="F461" t="s">
        <v>1186</v>
      </c>
    </row>
    <row r="462" spans="1:6" x14ac:dyDescent="0.3">
      <c r="A462" t="str">
        <f>HYPERLINK("https://hsdes.intel.com/resource/14013159965","14013159965")</f>
        <v>14013159965</v>
      </c>
      <c r="B462" t="s">
        <v>1216</v>
      </c>
      <c r="C462" t="s">
        <v>1217</v>
      </c>
      <c r="D462" t="s">
        <v>6</v>
      </c>
      <c r="E462" t="s">
        <v>648</v>
      </c>
      <c r="F462" t="s">
        <v>1186</v>
      </c>
    </row>
    <row r="463" spans="1:6" x14ac:dyDescent="0.3">
      <c r="A463" t="str">
        <f>HYPERLINK("https://hsdes.intel.com/resource/14013159967","14013159967")</f>
        <v>14013159967</v>
      </c>
      <c r="B463" t="s">
        <v>1218</v>
      </c>
      <c r="C463" t="s">
        <v>1219</v>
      </c>
      <c r="D463" t="s">
        <v>6</v>
      </c>
      <c r="E463" t="s">
        <v>648</v>
      </c>
      <c r="F463" t="s">
        <v>1220</v>
      </c>
    </row>
    <row r="464" spans="1:6" x14ac:dyDescent="0.3">
      <c r="A464" t="str">
        <f>HYPERLINK("https://hsdes.intel.com/resource/14013159969","14013159969")</f>
        <v>14013159969</v>
      </c>
      <c r="B464" t="s">
        <v>1221</v>
      </c>
      <c r="C464" t="s">
        <v>1222</v>
      </c>
      <c r="D464" t="s">
        <v>6</v>
      </c>
      <c r="E464" t="s">
        <v>648</v>
      </c>
      <c r="F464" t="s">
        <v>1153</v>
      </c>
    </row>
    <row r="465" spans="1:6" x14ac:dyDescent="0.3">
      <c r="A465" t="str">
        <f>HYPERLINK("https://hsdes.intel.com/resource/14013159971","14013159971")</f>
        <v>14013159971</v>
      </c>
      <c r="B465" t="s">
        <v>1223</v>
      </c>
      <c r="C465" t="s">
        <v>1224</v>
      </c>
      <c r="D465" t="s">
        <v>6</v>
      </c>
      <c r="E465" t="s">
        <v>7</v>
      </c>
      <c r="F465" t="s">
        <v>1156</v>
      </c>
    </row>
    <row r="466" spans="1:6" x14ac:dyDescent="0.3">
      <c r="A466" t="str">
        <f>HYPERLINK("https://hsdes.intel.com/resource/14013159973","14013159973")</f>
        <v>14013159973</v>
      </c>
      <c r="B466" t="s">
        <v>1225</v>
      </c>
      <c r="C466" t="s">
        <v>1226</v>
      </c>
      <c r="D466" t="s">
        <v>6</v>
      </c>
      <c r="E466" t="s">
        <v>898</v>
      </c>
      <c r="F466" t="s">
        <v>1227</v>
      </c>
    </row>
    <row r="467" spans="1:6" x14ac:dyDescent="0.3">
      <c r="A467" t="str">
        <f>HYPERLINK("https://hsdes.intel.com/resource/14013159979","14013159979")</f>
        <v>14013159979</v>
      </c>
      <c r="B467" t="s">
        <v>1228</v>
      </c>
      <c r="C467" t="s">
        <v>1229</v>
      </c>
      <c r="D467" t="s">
        <v>6</v>
      </c>
      <c r="E467" t="s">
        <v>7</v>
      </c>
      <c r="F467" t="s">
        <v>626</v>
      </c>
    </row>
    <row r="468" spans="1:6" x14ac:dyDescent="0.3">
      <c r="A468" t="str">
        <f>HYPERLINK("https://hsdes.intel.com/resource/14013159987","14013159987")</f>
        <v>14013159987</v>
      </c>
      <c r="B468" t="s">
        <v>1230</v>
      </c>
      <c r="C468" t="s">
        <v>1231</v>
      </c>
      <c r="D468" t="s">
        <v>6</v>
      </c>
      <c r="E468" t="s">
        <v>7</v>
      </c>
      <c r="F468" t="s">
        <v>1164</v>
      </c>
    </row>
    <row r="469" spans="1:6" x14ac:dyDescent="0.3">
      <c r="A469" t="str">
        <f>HYPERLINK("https://hsdes.intel.com/resource/14013160002","14013160002")</f>
        <v>14013160002</v>
      </c>
      <c r="B469" t="s">
        <v>1232</v>
      </c>
      <c r="C469" t="s">
        <v>1233</v>
      </c>
      <c r="D469" t="s">
        <v>6</v>
      </c>
      <c r="E469" t="s">
        <v>7</v>
      </c>
      <c r="F469" t="s">
        <v>1133</v>
      </c>
    </row>
    <row r="470" spans="1:6" x14ac:dyDescent="0.3">
      <c r="A470" t="str">
        <f>HYPERLINK("https://hsdes.intel.com/resource/14013160006","14013160006")</f>
        <v>14013160006</v>
      </c>
      <c r="B470" t="s">
        <v>1234</v>
      </c>
      <c r="C470" t="s">
        <v>1235</v>
      </c>
      <c r="D470" t="s">
        <v>6</v>
      </c>
      <c r="E470" t="s">
        <v>648</v>
      </c>
      <c r="F470" t="s">
        <v>1186</v>
      </c>
    </row>
    <row r="471" spans="1:6" x14ac:dyDescent="0.3">
      <c r="A471" t="str">
        <f>HYPERLINK("https://hsdes.intel.com/resource/14013160009","14013160009")</f>
        <v>14013160009</v>
      </c>
      <c r="B471" t="s">
        <v>1236</v>
      </c>
      <c r="C471" t="s">
        <v>1237</v>
      </c>
      <c r="D471" t="s">
        <v>6</v>
      </c>
      <c r="E471" t="s">
        <v>648</v>
      </c>
      <c r="F471" t="s">
        <v>1238</v>
      </c>
    </row>
    <row r="472" spans="1:6" x14ac:dyDescent="0.3">
      <c r="A472" t="str">
        <f>HYPERLINK("https://hsdes.intel.com/resource/14013160011","14013160011")</f>
        <v>14013160011</v>
      </c>
      <c r="B472" t="s">
        <v>1239</v>
      </c>
      <c r="C472" t="s">
        <v>1240</v>
      </c>
      <c r="D472" t="s">
        <v>6</v>
      </c>
      <c r="E472" t="s">
        <v>7</v>
      </c>
      <c r="F472" t="s">
        <v>1156</v>
      </c>
    </row>
    <row r="473" spans="1:6" x14ac:dyDescent="0.3">
      <c r="A473" t="str">
        <f>HYPERLINK("https://hsdes.intel.com/resource/14013160014","14013160014")</f>
        <v>14013160014</v>
      </c>
      <c r="B473" t="s">
        <v>1241</v>
      </c>
      <c r="C473" t="s">
        <v>1242</v>
      </c>
      <c r="D473" t="s">
        <v>6</v>
      </c>
      <c r="E473" t="s">
        <v>7</v>
      </c>
      <c r="F473" t="s">
        <v>1156</v>
      </c>
    </row>
    <row r="474" spans="1:6" x14ac:dyDescent="0.3">
      <c r="A474" t="str">
        <f>HYPERLINK("https://hsdes.intel.com/resource/14013160018","14013160018")</f>
        <v>14013160018</v>
      </c>
      <c r="B474" t="s">
        <v>1243</v>
      </c>
      <c r="C474" t="s">
        <v>1244</v>
      </c>
      <c r="D474" t="s">
        <v>6</v>
      </c>
      <c r="E474" t="s">
        <v>7</v>
      </c>
      <c r="F474" t="s">
        <v>1156</v>
      </c>
    </row>
    <row r="475" spans="1:6" x14ac:dyDescent="0.3">
      <c r="A475" t="str">
        <f>HYPERLINK("https://hsdes.intel.com/resource/14013160020","14013160020")</f>
        <v>14013160020</v>
      </c>
      <c r="B475" t="s">
        <v>1245</v>
      </c>
      <c r="C475" t="s">
        <v>1246</v>
      </c>
      <c r="D475" t="s">
        <v>6</v>
      </c>
      <c r="E475" t="s">
        <v>898</v>
      </c>
      <c r="F475" t="s">
        <v>1227</v>
      </c>
    </row>
    <row r="476" spans="1:6" x14ac:dyDescent="0.3">
      <c r="A476" t="str">
        <f>HYPERLINK("https://hsdes.intel.com/resource/14013160022","14013160022")</f>
        <v>14013160022</v>
      </c>
      <c r="B476" t="s">
        <v>1247</v>
      </c>
      <c r="C476" t="s">
        <v>1248</v>
      </c>
      <c r="D476" t="s">
        <v>6</v>
      </c>
      <c r="E476" t="s">
        <v>898</v>
      </c>
      <c r="F476" t="s">
        <v>1159</v>
      </c>
    </row>
    <row r="477" spans="1:6" x14ac:dyDescent="0.3">
      <c r="A477" t="str">
        <f>HYPERLINK("https://hsdes.intel.com/resource/14013160024","14013160024")</f>
        <v>14013160024</v>
      </c>
      <c r="B477" t="s">
        <v>1249</v>
      </c>
      <c r="C477" t="s">
        <v>1250</v>
      </c>
      <c r="D477" t="s">
        <v>6</v>
      </c>
      <c r="E477" t="s">
        <v>898</v>
      </c>
      <c r="F477" t="s">
        <v>1227</v>
      </c>
    </row>
    <row r="478" spans="1:6" x14ac:dyDescent="0.3">
      <c r="A478" t="str">
        <f>HYPERLINK("https://hsdes.intel.com/resource/14013160033","14013160033")</f>
        <v>14013160033</v>
      </c>
      <c r="B478" t="s">
        <v>1251</v>
      </c>
      <c r="C478" t="s">
        <v>1252</v>
      </c>
      <c r="D478" t="s">
        <v>6</v>
      </c>
      <c r="E478" t="s">
        <v>898</v>
      </c>
      <c r="F478" t="s">
        <v>1253</v>
      </c>
    </row>
    <row r="479" spans="1:6" x14ac:dyDescent="0.3">
      <c r="A479" t="str">
        <f>HYPERLINK("https://hsdes.intel.com/resource/14013160036","14013160036")</f>
        <v>14013160036</v>
      </c>
      <c r="B479" t="s">
        <v>1254</v>
      </c>
      <c r="C479" t="s">
        <v>1255</v>
      </c>
      <c r="D479" t="s">
        <v>6</v>
      </c>
      <c r="E479" t="s">
        <v>898</v>
      </c>
      <c r="F479" t="s">
        <v>1256</v>
      </c>
    </row>
    <row r="480" spans="1:6" x14ac:dyDescent="0.3">
      <c r="A480" t="str">
        <f>HYPERLINK("https://hsdes.intel.com/resource/14013160038","14013160038")</f>
        <v>14013160038</v>
      </c>
      <c r="B480" t="s">
        <v>1257</v>
      </c>
      <c r="C480" t="s">
        <v>1258</v>
      </c>
      <c r="D480" t="s">
        <v>6</v>
      </c>
      <c r="E480" t="s">
        <v>7</v>
      </c>
      <c r="F480" t="s">
        <v>1164</v>
      </c>
    </row>
    <row r="481" spans="1:6" x14ac:dyDescent="0.3">
      <c r="A481" t="str">
        <f>HYPERLINK("https://hsdes.intel.com/resource/14013160044","14013160044")</f>
        <v>14013160044</v>
      </c>
      <c r="B481" t="s">
        <v>1259</v>
      </c>
      <c r="C481" t="s">
        <v>1260</v>
      </c>
      <c r="D481" t="s">
        <v>6</v>
      </c>
      <c r="E481" t="s">
        <v>7</v>
      </c>
      <c r="F481" t="s">
        <v>1133</v>
      </c>
    </row>
    <row r="482" spans="1:6" x14ac:dyDescent="0.3">
      <c r="A482" t="str">
        <f>HYPERLINK("https://hsdes.intel.com/resource/14013160046","14013160046")</f>
        <v>14013160046</v>
      </c>
      <c r="B482" t="s">
        <v>1261</v>
      </c>
      <c r="C482" t="s">
        <v>1262</v>
      </c>
      <c r="D482" t="s">
        <v>6</v>
      </c>
      <c r="E482" t="s">
        <v>1170</v>
      </c>
      <c r="F482" t="s">
        <v>1171</v>
      </c>
    </row>
    <row r="483" spans="1:6" x14ac:dyDescent="0.3">
      <c r="A483" t="str">
        <f>HYPERLINK("https://hsdes.intel.com/resource/14013160052","14013160052")</f>
        <v>14013160052</v>
      </c>
      <c r="B483" t="s">
        <v>1263</v>
      </c>
      <c r="C483" t="s">
        <v>1264</v>
      </c>
      <c r="D483" t="s">
        <v>6</v>
      </c>
      <c r="E483" t="s">
        <v>648</v>
      </c>
      <c r="F483" t="s">
        <v>1238</v>
      </c>
    </row>
    <row r="484" spans="1:6" x14ac:dyDescent="0.3">
      <c r="A484" t="str">
        <f>HYPERLINK("https://hsdes.intel.com/resource/14013160054","14013160054")</f>
        <v>14013160054</v>
      </c>
      <c r="B484" t="s">
        <v>1265</v>
      </c>
      <c r="C484" t="s">
        <v>1266</v>
      </c>
      <c r="D484" t="s">
        <v>6</v>
      </c>
      <c r="E484" t="s">
        <v>648</v>
      </c>
      <c r="F484" t="s">
        <v>1153</v>
      </c>
    </row>
    <row r="485" spans="1:6" x14ac:dyDescent="0.3">
      <c r="A485" t="str">
        <f>HYPERLINK("https://hsdes.intel.com/resource/14013160057","14013160057")</f>
        <v>14013160057</v>
      </c>
      <c r="B485" t="s">
        <v>1267</v>
      </c>
      <c r="C485" t="s">
        <v>1268</v>
      </c>
      <c r="D485" t="s">
        <v>6</v>
      </c>
      <c r="E485" t="s">
        <v>648</v>
      </c>
      <c r="F485" t="s">
        <v>1186</v>
      </c>
    </row>
    <row r="486" spans="1:6" x14ac:dyDescent="0.3">
      <c r="A486" t="str">
        <f>HYPERLINK("https://hsdes.intel.com/resource/14013160059","14013160059")</f>
        <v>14013160059</v>
      </c>
      <c r="B486" t="s">
        <v>1269</v>
      </c>
      <c r="C486" t="s">
        <v>1270</v>
      </c>
      <c r="D486" t="s">
        <v>6</v>
      </c>
      <c r="E486" t="s">
        <v>7</v>
      </c>
      <c r="F486" t="s">
        <v>1156</v>
      </c>
    </row>
    <row r="487" spans="1:6" x14ac:dyDescent="0.3">
      <c r="A487" t="str">
        <f>HYPERLINK("https://hsdes.intel.com/resource/14013160061","14013160061")</f>
        <v>14013160061</v>
      </c>
      <c r="B487" t="s">
        <v>1271</v>
      </c>
      <c r="C487" t="s">
        <v>1272</v>
      </c>
      <c r="D487" t="s">
        <v>6</v>
      </c>
      <c r="E487" t="s">
        <v>898</v>
      </c>
      <c r="F487" t="s">
        <v>1159</v>
      </c>
    </row>
    <row r="488" spans="1:6" x14ac:dyDescent="0.3">
      <c r="A488" t="str">
        <f>HYPERLINK("https://hsdes.intel.com/resource/14013160063","14013160063")</f>
        <v>14013160063</v>
      </c>
      <c r="B488" t="s">
        <v>1273</v>
      </c>
      <c r="C488" t="s">
        <v>1274</v>
      </c>
      <c r="D488" t="s">
        <v>6</v>
      </c>
      <c r="E488" t="s">
        <v>898</v>
      </c>
      <c r="F488" t="s">
        <v>1227</v>
      </c>
    </row>
    <row r="489" spans="1:6" x14ac:dyDescent="0.3">
      <c r="A489" t="str">
        <f>HYPERLINK("https://hsdes.intel.com/resource/14013160066","14013160066")</f>
        <v>14013160066</v>
      </c>
      <c r="B489" t="s">
        <v>1275</v>
      </c>
      <c r="C489" t="s">
        <v>1276</v>
      </c>
      <c r="D489" t="s">
        <v>6</v>
      </c>
      <c r="E489" t="s">
        <v>7</v>
      </c>
      <c r="F489" t="s">
        <v>626</v>
      </c>
    </row>
    <row r="490" spans="1:6" x14ac:dyDescent="0.3">
      <c r="A490" t="str">
        <f>HYPERLINK("https://hsdes.intel.com/resource/14013160069","14013160069")</f>
        <v>14013160069</v>
      </c>
      <c r="B490" t="s">
        <v>1277</v>
      </c>
      <c r="C490" t="s">
        <v>1278</v>
      </c>
      <c r="D490" t="s">
        <v>6</v>
      </c>
      <c r="E490" t="s">
        <v>7</v>
      </c>
      <c r="F490" t="s">
        <v>626</v>
      </c>
    </row>
    <row r="491" spans="1:6" x14ac:dyDescent="0.3">
      <c r="A491" t="str">
        <f>HYPERLINK("https://hsdes.intel.com/resource/14013160080","14013160080")</f>
        <v>14013160080</v>
      </c>
      <c r="B491" t="s">
        <v>1279</v>
      </c>
      <c r="C491" t="s">
        <v>1280</v>
      </c>
      <c r="D491" t="s">
        <v>6</v>
      </c>
      <c r="E491" t="s">
        <v>7</v>
      </c>
      <c r="F491" t="s">
        <v>1164</v>
      </c>
    </row>
    <row r="492" spans="1:6" x14ac:dyDescent="0.3">
      <c r="A492" t="str">
        <f>HYPERLINK("https://hsdes.intel.com/resource/14013160082","14013160082")</f>
        <v>14013160082</v>
      </c>
      <c r="B492" t="s">
        <v>1281</v>
      </c>
      <c r="C492" t="s">
        <v>1282</v>
      </c>
      <c r="D492" t="s">
        <v>6</v>
      </c>
      <c r="E492" t="s">
        <v>7</v>
      </c>
      <c r="F492" t="s">
        <v>1164</v>
      </c>
    </row>
    <row r="493" spans="1:6" x14ac:dyDescent="0.3">
      <c r="A493" t="str">
        <f>HYPERLINK("https://hsdes.intel.com/resource/14013160089","14013160089")</f>
        <v>14013160089</v>
      </c>
      <c r="B493" t="s">
        <v>1283</v>
      </c>
      <c r="C493" t="s">
        <v>1284</v>
      </c>
      <c r="D493" t="s">
        <v>142</v>
      </c>
      <c r="E493" t="s">
        <v>63</v>
      </c>
      <c r="F493" t="s">
        <v>865</v>
      </c>
    </row>
    <row r="494" spans="1:6" x14ac:dyDescent="0.3">
      <c r="A494" t="str">
        <f>HYPERLINK("https://hsdes.intel.com/resource/14013160118","14013160118")</f>
        <v>14013160118</v>
      </c>
      <c r="B494" t="s">
        <v>1285</v>
      </c>
      <c r="C494" t="s">
        <v>1286</v>
      </c>
      <c r="D494" t="s">
        <v>98</v>
      </c>
      <c r="E494" t="s">
        <v>63</v>
      </c>
      <c r="F494" t="s">
        <v>1287</v>
      </c>
    </row>
    <row r="495" spans="1:6" x14ac:dyDescent="0.3">
      <c r="A495" t="str">
        <f>HYPERLINK("https://hsdes.intel.com/resource/14013160125","14013160125")</f>
        <v>14013160125</v>
      </c>
      <c r="B495" t="s">
        <v>1288</v>
      </c>
      <c r="C495" t="s">
        <v>1289</v>
      </c>
      <c r="D495" t="s">
        <v>98</v>
      </c>
      <c r="E495" t="s">
        <v>63</v>
      </c>
      <c r="F495" t="s">
        <v>1290</v>
      </c>
    </row>
    <row r="496" spans="1:6" x14ac:dyDescent="0.3">
      <c r="A496" t="str">
        <f>HYPERLINK("https://hsdes.intel.com/resource/14013160127","14013160127")</f>
        <v>14013160127</v>
      </c>
      <c r="B496" t="s">
        <v>1291</v>
      </c>
      <c r="C496" t="s">
        <v>1292</v>
      </c>
      <c r="D496" t="s">
        <v>98</v>
      </c>
      <c r="E496" t="s">
        <v>63</v>
      </c>
      <c r="F496" t="s">
        <v>1290</v>
      </c>
    </row>
    <row r="497" spans="1:6" x14ac:dyDescent="0.3">
      <c r="A497" t="str">
        <f>HYPERLINK("https://hsdes.intel.com/resource/14013160130","14013160130")</f>
        <v>14013160130</v>
      </c>
      <c r="B497" t="s">
        <v>1293</v>
      </c>
      <c r="C497" t="s">
        <v>1294</v>
      </c>
      <c r="D497" t="s">
        <v>98</v>
      </c>
      <c r="E497" t="s">
        <v>63</v>
      </c>
      <c r="F497" t="s">
        <v>1295</v>
      </c>
    </row>
    <row r="498" spans="1:6" x14ac:dyDescent="0.3">
      <c r="A498" t="str">
        <f>HYPERLINK("https://hsdes.intel.com/resource/14013160246","14013160246")</f>
        <v>14013160246</v>
      </c>
      <c r="B498" t="s">
        <v>1296</v>
      </c>
      <c r="C498" t="s">
        <v>1297</v>
      </c>
      <c r="D498" t="s">
        <v>29</v>
      </c>
      <c r="E498" t="s">
        <v>232</v>
      </c>
      <c r="F498" t="s">
        <v>1298</v>
      </c>
    </row>
    <row r="499" spans="1:6" x14ac:dyDescent="0.3">
      <c r="A499" t="str">
        <f>HYPERLINK("https://hsdes.intel.com/resource/14013160427","14013160427")</f>
        <v>14013160427</v>
      </c>
      <c r="B499" t="s">
        <v>1299</v>
      </c>
      <c r="C499" t="s">
        <v>1300</v>
      </c>
      <c r="D499" t="s">
        <v>29</v>
      </c>
      <c r="E499" t="s">
        <v>232</v>
      </c>
      <c r="F499" t="s">
        <v>1301</v>
      </c>
    </row>
    <row r="500" spans="1:6" x14ac:dyDescent="0.3">
      <c r="A500" t="str">
        <f>HYPERLINK("https://hsdes.intel.com/resource/14013160431","14013160431")</f>
        <v>14013160431</v>
      </c>
      <c r="B500" t="s">
        <v>1302</v>
      </c>
      <c r="C500" t="s">
        <v>1303</v>
      </c>
      <c r="D500" t="s">
        <v>98</v>
      </c>
      <c r="E500" t="s">
        <v>30</v>
      </c>
      <c r="F500" t="s">
        <v>1295</v>
      </c>
    </row>
    <row r="501" spans="1:6" x14ac:dyDescent="0.3">
      <c r="A501" t="str">
        <f>HYPERLINK("https://hsdes.intel.com/resource/14013160435","14013160435")</f>
        <v>14013160435</v>
      </c>
      <c r="B501" t="s">
        <v>1304</v>
      </c>
      <c r="C501" t="s">
        <v>1305</v>
      </c>
      <c r="D501" t="s">
        <v>98</v>
      </c>
      <c r="E501" t="s">
        <v>30</v>
      </c>
      <c r="F501" t="s">
        <v>1295</v>
      </c>
    </row>
    <row r="502" spans="1:6" x14ac:dyDescent="0.3">
      <c r="A502" t="str">
        <f>HYPERLINK("https://hsdes.intel.com/resource/14013160464","14013160464")</f>
        <v>14013160464</v>
      </c>
      <c r="B502" t="s">
        <v>1306</v>
      </c>
      <c r="C502" t="s">
        <v>1307</v>
      </c>
      <c r="D502" t="s">
        <v>22</v>
      </c>
      <c r="E502" t="s">
        <v>30</v>
      </c>
      <c r="F502" t="s">
        <v>1308</v>
      </c>
    </row>
    <row r="503" spans="1:6" x14ac:dyDescent="0.3">
      <c r="A503" t="str">
        <f>HYPERLINK("https://hsdes.intel.com/resource/14013160507","14013160507")</f>
        <v>14013160507</v>
      </c>
      <c r="B503" t="s">
        <v>1309</v>
      </c>
      <c r="C503" t="s">
        <v>1310</v>
      </c>
      <c r="D503" t="s">
        <v>29</v>
      </c>
      <c r="E503" t="s">
        <v>1311</v>
      </c>
      <c r="F503" t="s">
        <v>1312</v>
      </c>
    </row>
    <row r="504" spans="1:6" x14ac:dyDescent="0.3">
      <c r="A504" t="str">
        <f>HYPERLINK("https://hsdes.intel.com/resource/14013160511","14013160511")</f>
        <v>14013160511</v>
      </c>
      <c r="B504" t="s">
        <v>1313</v>
      </c>
      <c r="C504" t="s">
        <v>1314</v>
      </c>
      <c r="D504" t="s">
        <v>29</v>
      </c>
      <c r="E504" t="s">
        <v>1311</v>
      </c>
      <c r="F504" t="s">
        <v>1315</v>
      </c>
    </row>
    <row r="505" spans="1:6" x14ac:dyDescent="0.3">
      <c r="A505" t="str">
        <f>HYPERLINK("https://hsdes.intel.com/resource/14013160517","14013160517")</f>
        <v>14013160517</v>
      </c>
      <c r="B505" t="s">
        <v>1316</v>
      </c>
      <c r="C505" t="s">
        <v>1317</v>
      </c>
      <c r="D505" t="s">
        <v>29</v>
      </c>
      <c r="E505" t="s">
        <v>1311</v>
      </c>
      <c r="F505" t="s">
        <v>1315</v>
      </c>
    </row>
    <row r="506" spans="1:6" x14ac:dyDescent="0.3">
      <c r="A506" t="str">
        <f>HYPERLINK("https://hsdes.intel.com/resource/14013160602","14013160602")</f>
        <v>14013160602</v>
      </c>
      <c r="B506" t="s">
        <v>1318</v>
      </c>
      <c r="C506" t="s">
        <v>1319</v>
      </c>
      <c r="D506" t="s">
        <v>22</v>
      </c>
      <c r="E506" t="s">
        <v>30</v>
      </c>
      <c r="F506" t="s">
        <v>1320</v>
      </c>
    </row>
    <row r="507" spans="1:6" x14ac:dyDescent="0.3">
      <c r="A507" t="str">
        <f>HYPERLINK("https://hsdes.intel.com/resource/14013160612","14013160612")</f>
        <v>14013160612</v>
      </c>
      <c r="B507" t="s">
        <v>1321</v>
      </c>
      <c r="C507" t="s">
        <v>1322</v>
      </c>
      <c r="D507" t="s">
        <v>22</v>
      </c>
      <c r="E507" t="s">
        <v>30</v>
      </c>
      <c r="F507" t="s">
        <v>1323</v>
      </c>
    </row>
    <row r="508" spans="1:6" x14ac:dyDescent="0.3">
      <c r="A508" t="str">
        <f>HYPERLINK("https://hsdes.intel.com/resource/14013160618","14013160618")</f>
        <v>14013160618</v>
      </c>
      <c r="B508" t="s">
        <v>1324</v>
      </c>
      <c r="C508" t="s">
        <v>1325</v>
      </c>
      <c r="D508" t="s">
        <v>142</v>
      </c>
      <c r="E508" t="s">
        <v>63</v>
      </c>
      <c r="F508" t="s">
        <v>1326</v>
      </c>
    </row>
    <row r="509" spans="1:6" x14ac:dyDescent="0.3">
      <c r="A509" t="str">
        <f>HYPERLINK("https://hsdes.intel.com/resource/14013160634","14013160634")</f>
        <v>14013160634</v>
      </c>
      <c r="B509" t="s">
        <v>1327</v>
      </c>
      <c r="C509" t="s">
        <v>1328</v>
      </c>
      <c r="D509" t="s">
        <v>29</v>
      </c>
      <c r="E509" t="s">
        <v>80</v>
      </c>
      <c r="F509" t="s">
        <v>1329</v>
      </c>
    </row>
    <row r="510" spans="1:6" x14ac:dyDescent="0.3">
      <c r="A510" t="str">
        <f>HYPERLINK("https://hsdes.intel.com/resource/14013160655","14013160655")</f>
        <v>14013160655</v>
      </c>
      <c r="B510" t="s">
        <v>1330</v>
      </c>
      <c r="C510" t="s">
        <v>1331</v>
      </c>
      <c r="D510" t="s">
        <v>17</v>
      </c>
      <c r="E510" t="s">
        <v>904</v>
      </c>
      <c r="F510" t="s">
        <v>1332</v>
      </c>
    </row>
    <row r="511" spans="1:6" x14ac:dyDescent="0.3">
      <c r="A511" t="str">
        <f>HYPERLINK("https://hsdes.intel.com/resource/14013160660","14013160660")</f>
        <v>14013160660</v>
      </c>
      <c r="B511" t="s">
        <v>1333</v>
      </c>
      <c r="C511" t="s">
        <v>1334</v>
      </c>
      <c r="D511" t="s">
        <v>17</v>
      </c>
      <c r="E511" t="s">
        <v>30</v>
      </c>
      <c r="F511" t="s">
        <v>1335</v>
      </c>
    </row>
    <row r="512" spans="1:6" x14ac:dyDescent="0.3">
      <c r="A512" t="str">
        <f>HYPERLINK("https://hsdes.intel.com/resource/14013160685","14013160685")</f>
        <v>14013160685</v>
      </c>
      <c r="B512" t="s">
        <v>1336</v>
      </c>
      <c r="C512" t="s">
        <v>1337</v>
      </c>
      <c r="D512" t="s">
        <v>142</v>
      </c>
      <c r="E512" t="s">
        <v>63</v>
      </c>
      <c r="F512" t="s">
        <v>1338</v>
      </c>
    </row>
    <row r="513" spans="1:6" x14ac:dyDescent="0.3">
      <c r="A513" t="str">
        <f>HYPERLINK("https://hsdes.intel.com/resource/14013160687","14013160687")</f>
        <v>14013160687</v>
      </c>
      <c r="B513" t="s">
        <v>1339</v>
      </c>
      <c r="C513" t="s">
        <v>1340</v>
      </c>
      <c r="D513" t="s">
        <v>142</v>
      </c>
      <c r="E513" t="s">
        <v>63</v>
      </c>
      <c r="F513" t="s">
        <v>1341</v>
      </c>
    </row>
    <row r="514" spans="1:6" x14ac:dyDescent="0.3">
      <c r="A514" t="str">
        <f>HYPERLINK("https://hsdes.intel.com/resource/14013160688","14013160688")</f>
        <v>14013160688</v>
      </c>
      <c r="B514" t="s">
        <v>1342</v>
      </c>
      <c r="C514" t="s">
        <v>1343</v>
      </c>
      <c r="D514" t="s">
        <v>142</v>
      </c>
      <c r="E514" t="s">
        <v>730</v>
      </c>
      <c r="F514" t="s">
        <v>1344</v>
      </c>
    </row>
    <row r="515" spans="1:6" x14ac:dyDescent="0.3">
      <c r="A515" t="str">
        <f>HYPERLINK("https://hsdes.intel.com/resource/14013160691","14013160691")</f>
        <v>14013160691</v>
      </c>
      <c r="B515" t="s">
        <v>1345</v>
      </c>
      <c r="C515" t="s">
        <v>1346</v>
      </c>
      <c r="D515" t="s">
        <v>142</v>
      </c>
      <c r="E515" t="s">
        <v>730</v>
      </c>
      <c r="F515" t="s">
        <v>1347</v>
      </c>
    </row>
    <row r="516" spans="1:6" x14ac:dyDescent="0.3">
      <c r="A516" t="str">
        <f>HYPERLINK("https://hsdes.intel.com/resource/14013160703","14013160703")</f>
        <v>14013160703</v>
      </c>
      <c r="B516" t="s">
        <v>1348</v>
      </c>
      <c r="C516" t="s">
        <v>1349</v>
      </c>
      <c r="D516" t="s">
        <v>29</v>
      </c>
      <c r="E516" t="s">
        <v>63</v>
      </c>
      <c r="F516" t="s">
        <v>1350</v>
      </c>
    </row>
    <row r="517" spans="1:6" x14ac:dyDescent="0.3">
      <c r="A517" t="str">
        <f>HYPERLINK("https://hsdes.intel.com/resource/14013160704","14013160704")</f>
        <v>14013160704</v>
      </c>
      <c r="B517" t="s">
        <v>1351</v>
      </c>
      <c r="C517" t="s">
        <v>1352</v>
      </c>
      <c r="D517" t="s">
        <v>142</v>
      </c>
      <c r="E517" t="s">
        <v>63</v>
      </c>
      <c r="F517" t="s">
        <v>1326</v>
      </c>
    </row>
    <row r="518" spans="1:6" x14ac:dyDescent="0.3">
      <c r="A518" t="str">
        <f>HYPERLINK("https://hsdes.intel.com/resource/14013160725","14013160725")</f>
        <v>14013160725</v>
      </c>
      <c r="B518" t="s">
        <v>1353</v>
      </c>
      <c r="C518" t="s">
        <v>1354</v>
      </c>
      <c r="D518" t="s">
        <v>22</v>
      </c>
      <c r="E518" t="s">
        <v>30</v>
      </c>
      <c r="F518" t="s">
        <v>1355</v>
      </c>
    </row>
    <row r="519" spans="1:6" x14ac:dyDescent="0.3">
      <c r="A519" t="str">
        <f>HYPERLINK("https://hsdes.intel.com/resource/14013160726","14013160726")</f>
        <v>14013160726</v>
      </c>
      <c r="B519" t="s">
        <v>1356</v>
      </c>
      <c r="C519" t="s">
        <v>1357</v>
      </c>
      <c r="D519" t="s">
        <v>6</v>
      </c>
      <c r="E519" t="s">
        <v>7</v>
      </c>
      <c r="F519" t="s">
        <v>1358</v>
      </c>
    </row>
    <row r="520" spans="1:6" x14ac:dyDescent="0.3">
      <c r="A520" t="str">
        <f>HYPERLINK("https://hsdes.intel.com/resource/14013160728","14013160728")</f>
        <v>14013160728</v>
      </c>
      <c r="B520" t="s">
        <v>1359</v>
      </c>
      <c r="C520" t="s">
        <v>1360</v>
      </c>
      <c r="D520" t="s">
        <v>6</v>
      </c>
      <c r="E520" t="s">
        <v>7</v>
      </c>
      <c r="F520" t="s">
        <v>1361</v>
      </c>
    </row>
    <row r="521" spans="1:6" x14ac:dyDescent="0.3">
      <c r="A521" t="str">
        <f>HYPERLINK("https://hsdes.intel.com/resource/14013160750","14013160750")</f>
        <v>14013160750</v>
      </c>
      <c r="B521" t="s">
        <v>1362</v>
      </c>
      <c r="C521" t="s">
        <v>1363</v>
      </c>
      <c r="D521" t="s">
        <v>98</v>
      </c>
      <c r="E521" t="s">
        <v>408</v>
      </c>
      <c r="F521" t="s">
        <v>1364</v>
      </c>
    </row>
    <row r="522" spans="1:6" x14ac:dyDescent="0.3">
      <c r="A522" t="str">
        <f>HYPERLINK("https://hsdes.intel.com/resource/14013160804","14013160804")</f>
        <v>14013160804</v>
      </c>
      <c r="B522" t="s">
        <v>1365</v>
      </c>
      <c r="C522" t="s">
        <v>1366</v>
      </c>
      <c r="D522" t="s">
        <v>6</v>
      </c>
      <c r="E522" t="s">
        <v>7</v>
      </c>
      <c r="F522" t="s">
        <v>1338</v>
      </c>
    </row>
    <row r="523" spans="1:6" x14ac:dyDescent="0.3">
      <c r="A523" t="str">
        <f>HYPERLINK("https://hsdes.intel.com/resource/14013160828","14013160828")</f>
        <v>14013160828</v>
      </c>
      <c r="B523" t="s">
        <v>1367</v>
      </c>
      <c r="C523" t="s">
        <v>1368</v>
      </c>
      <c r="D523" t="s">
        <v>142</v>
      </c>
      <c r="E523" t="s">
        <v>63</v>
      </c>
      <c r="F523" t="s">
        <v>1369</v>
      </c>
    </row>
    <row r="524" spans="1:6" x14ac:dyDescent="0.3">
      <c r="A524" t="str">
        <f>HYPERLINK("https://hsdes.intel.com/resource/14013160845","14013160845")</f>
        <v>14013160845</v>
      </c>
      <c r="B524" t="s">
        <v>1370</v>
      </c>
      <c r="C524" t="s">
        <v>1371</v>
      </c>
      <c r="D524" t="s">
        <v>22</v>
      </c>
      <c r="E524" t="s">
        <v>30</v>
      </c>
      <c r="F524" t="s">
        <v>1372</v>
      </c>
    </row>
    <row r="525" spans="1:6" x14ac:dyDescent="0.3">
      <c r="A525" t="str">
        <f>HYPERLINK("https://hsdes.intel.com/resource/14013160847","14013160847")</f>
        <v>14013160847</v>
      </c>
      <c r="B525" t="s">
        <v>1373</v>
      </c>
      <c r="C525" t="s">
        <v>1374</v>
      </c>
      <c r="D525" t="s">
        <v>98</v>
      </c>
      <c r="E525" t="s">
        <v>1375</v>
      </c>
      <c r="F525" t="s">
        <v>1376</v>
      </c>
    </row>
    <row r="526" spans="1:6" x14ac:dyDescent="0.3">
      <c r="A526" t="str">
        <f>HYPERLINK("https://hsdes.intel.com/resource/14013160873","14013160873")</f>
        <v>14013160873</v>
      </c>
      <c r="B526" t="s">
        <v>1377</v>
      </c>
      <c r="C526" t="s">
        <v>1378</v>
      </c>
      <c r="D526" t="s">
        <v>22</v>
      </c>
      <c r="E526" t="s">
        <v>30</v>
      </c>
      <c r="F526" t="s">
        <v>1379</v>
      </c>
    </row>
    <row r="527" spans="1:6" x14ac:dyDescent="0.3">
      <c r="A527" t="str">
        <f>HYPERLINK("https://hsdes.intel.com/resource/14013160956","14013160956")</f>
        <v>14013160956</v>
      </c>
      <c r="B527" t="s">
        <v>1380</v>
      </c>
      <c r="C527" t="s">
        <v>1381</v>
      </c>
      <c r="D527" t="s">
        <v>17</v>
      </c>
      <c r="E527" t="s">
        <v>30</v>
      </c>
      <c r="F527" t="s">
        <v>1382</v>
      </c>
    </row>
    <row r="528" spans="1:6" x14ac:dyDescent="0.3">
      <c r="A528" t="str">
        <f>HYPERLINK("https://hsdes.intel.com/resource/14013161002","14013161002")</f>
        <v>14013161002</v>
      </c>
      <c r="B528" t="s">
        <v>1383</v>
      </c>
      <c r="C528" t="s">
        <v>1384</v>
      </c>
      <c r="D528" t="s">
        <v>17</v>
      </c>
      <c r="E528" t="s">
        <v>30</v>
      </c>
      <c r="F528" t="s">
        <v>1385</v>
      </c>
    </row>
    <row r="529" spans="1:6" x14ac:dyDescent="0.3">
      <c r="A529" t="str">
        <f>HYPERLINK("https://hsdes.intel.com/resource/14013161009","14013161009")</f>
        <v>14013161009</v>
      </c>
      <c r="B529" t="s">
        <v>1386</v>
      </c>
      <c r="C529" t="s">
        <v>1387</v>
      </c>
      <c r="D529" t="s">
        <v>17</v>
      </c>
      <c r="E529" t="s">
        <v>30</v>
      </c>
      <c r="F529" t="s">
        <v>1388</v>
      </c>
    </row>
    <row r="530" spans="1:6" x14ac:dyDescent="0.3">
      <c r="A530" t="str">
        <f>HYPERLINK("https://hsdes.intel.com/resource/14013161019","14013161019")</f>
        <v>14013161019</v>
      </c>
      <c r="B530" t="s">
        <v>1389</v>
      </c>
      <c r="C530" t="s">
        <v>1390</v>
      </c>
      <c r="D530" t="s">
        <v>17</v>
      </c>
      <c r="E530" t="s">
        <v>30</v>
      </c>
      <c r="F530" t="s">
        <v>1388</v>
      </c>
    </row>
    <row r="531" spans="1:6" x14ac:dyDescent="0.3">
      <c r="A531" t="str">
        <f>HYPERLINK("https://hsdes.intel.com/resource/14013161080","14013161080")</f>
        <v>14013161080</v>
      </c>
      <c r="B531" t="s">
        <v>1391</v>
      </c>
      <c r="C531" t="s">
        <v>1392</v>
      </c>
      <c r="D531" t="s">
        <v>17</v>
      </c>
      <c r="E531" t="s">
        <v>30</v>
      </c>
      <c r="F531" t="s">
        <v>531</v>
      </c>
    </row>
    <row r="532" spans="1:6" x14ac:dyDescent="0.3">
      <c r="A532" t="str">
        <f>HYPERLINK("https://hsdes.intel.com/resource/14013161121","14013161121")</f>
        <v>14013161121</v>
      </c>
      <c r="B532" t="s">
        <v>1393</v>
      </c>
      <c r="C532" t="s">
        <v>1394</v>
      </c>
      <c r="D532" t="s">
        <v>17</v>
      </c>
      <c r="E532" t="s">
        <v>63</v>
      </c>
      <c r="F532" t="s">
        <v>1395</v>
      </c>
    </row>
    <row r="533" spans="1:6" x14ac:dyDescent="0.3">
      <c r="A533" t="str">
        <f>HYPERLINK("https://hsdes.intel.com/resource/14013161169","14013161169")</f>
        <v>14013161169</v>
      </c>
      <c r="B533" t="s">
        <v>1396</v>
      </c>
      <c r="C533" t="s">
        <v>1397</v>
      </c>
      <c r="D533" t="s">
        <v>142</v>
      </c>
      <c r="E533" t="s">
        <v>63</v>
      </c>
      <c r="F533" t="s">
        <v>1398</v>
      </c>
    </row>
    <row r="534" spans="1:6" x14ac:dyDescent="0.3">
      <c r="A534" t="str">
        <f>HYPERLINK("https://hsdes.intel.com/resource/14013161173","14013161173")</f>
        <v>14013161173</v>
      </c>
      <c r="B534" t="s">
        <v>1399</v>
      </c>
      <c r="C534" t="s">
        <v>1400</v>
      </c>
      <c r="D534" t="s">
        <v>142</v>
      </c>
      <c r="E534" t="s">
        <v>63</v>
      </c>
      <c r="F534" t="s">
        <v>1401</v>
      </c>
    </row>
    <row r="535" spans="1:6" x14ac:dyDescent="0.3">
      <c r="A535" t="str">
        <f>HYPERLINK("https://hsdes.intel.com/resource/14013161181","14013161181")</f>
        <v>14013161181</v>
      </c>
      <c r="B535" t="s">
        <v>1402</v>
      </c>
      <c r="C535" t="s">
        <v>1403</v>
      </c>
      <c r="D535" t="s">
        <v>6</v>
      </c>
      <c r="E535" t="s">
        <v>63</v>
      </c>
      <c r="F535" t="s">
        <v>1404</v>
      </c>
    </row>
    <row r="536" spans="1:6" x14ac:dyDescent="0.3">
      <c r="A536" t="str">
        <f>HYPERLINK("https://hsdes.intel.com/resource/14013161185","14013161185")</f>
        <v>14013161185</v>
      </c>
      <c r="B536" t="s">
        <v>1405</v>
      </c>
      <c r="C536" t="s">
        <v>1406</v>
      </c>
      <c r="D536" t="s">
        <v>6</v>
      </c>
      <c r="E536" t="s">
        <v>63</v>
      </c>
      <c r="F536" t="s">
        <v>1404</v>
      </c>
    </row>
    <row r="537" spans="1:6" x14ac:dyDescent="0.3">
      <c r="A537" t="str">
        <f>HYPERLINK("https://hsdes.intel.com/resource/14013161188","14013161188")</f>
        <v>14013161188</v>
      </c>
      <c r="B537" t="s">
        <v>1407</v>
      </c>
      <c r="C537" t="s">
        <v>1408</v>
      </c>
      <c r="D537" t="s">
        <v>6</v>
      </c>
      <c r="E537" t="s">
        <v>18</v>
      </c>
      <c r="F537" t="s">
        <v>1404</v>
      </c>
    </row>
    <row r="538" spans="1:6" x14ac:dyDescent="0.3">
      <c r="A538" t="str">
        <f>HYPERLINK("https://hsdes.intel.com/resource/14013161189","14013161189")</f>
        <v>14013161189</v>
      </c>
      <c r="B538" t="s">
        <v>1409</v>
      </c>
      <c r="C538" t="s">
        <v>1410</v>
      </c>
      <c r="D538" t="s">
        <v>6</v>
      </c>
      <c r="E538" t="s">
        <v>63</v>
      </c>
      <c r="F538" t="s">
        <v>1411</v>
      </c>
    </row>
    <row r="539" spans="1:6" x14ac:dyDescent="0.3">
      <c r="A539" t="str">
        <f>HYPERLINK("https://hsdes.intel.com/resource/14013161190","14013161190")</f>
        <v>14013161190</v>
      </c>
      <c r="B539" t="s">
        <v>1412</v>
      </c>
      <c r="C539" t="s">
        <v>1413</v>
      </c>
      <c r="D539" t="s">
        <v>98</v>
      </c>
      <c r="E539" t="s">
        <v>30</v>
      </c>
      <c r="F539" t="s">
        <v>1295</v>
      </c>
    </row>
    <row r="540" spans="1:6" x14ac:dyDescent="0.3">
      <c r="A540" t="str">
        <f>HYPERLINK("https://hsdes.intel.com/resource/14013161192","14013161192")</f>
        <v>14013161192</v>
      </c>
      <c r="B540" t="s">
        <v>1414</v>
      </c>
      <c r="C540" t="s">
        <v>1415</v>
      </c>
      <c r="D540" t="s">
        <v>29</v>
      </c>
      <c r="E540" t="s">
        <v>232</v>
      </c>
      <c r="F540" t="s">
        <v>1416</v>
      </c>
    </row>
    <row r="541" spans="1:6" x14ac:dyDescent="0.3">
      <c r="A541" t="str">
        <f>HYPERLINK("https://hsdes.intel.com/resource/14013161207","14013161207")</f>
        <v>14013161207</v>
      </c>
      <c r="B541" t="s">
        <v>1417</v>
      </c>
      <c r="C541" t="s">
        <v>1418</v>
      </c>
      <c r="D541" t="s">
        <v>98</v>
      </c>
      <c r="E541" t="s">
        <v>232</v>
      </c>
      <c r="F541" t="s">
        <v>1419</v>
      </c>
    </row>
    <row r="542" spans="1:6" x14ac:dyDescent="0.3">
      <c r="A542" t="str">
        <f>HYPERLINK("https://hsdes.intel.com/resource/14013161281","14013161281")</f>
        <v>14013161281</v>
      </c>
      <c r="B542" t="s">
        <v>1420</v>
      </c>
      <c r="C542" t="s">
        <v>1421</v>
      </c>
      <c r="D542" t="s">
        <v>98</v>
      </c>
      <c r="E542" t="s">
        <v>63</v>
      </c>
      <c r="F542" t="s">
        <v>1388</v>
      </c>
    </row>
    <row r="543" spans="1:6" x14ac:dyDescent="0.3">
      <c r="A543" t="str">
        <f>HYPERLINK("https://hsdes.intel.com/resource/14013161283","14013161283")</f>
        <v>14013161283</v>
      </c>
      <c r="B543" t="s">
        <v>1422</v>
      </c>
      <c r="C543" t="s">
        <v>1423</v>
      </c>
      <c r="D543" t="s">
        <v>142</v>
      </c>
      <c r="E543" t="s">
        <v>63</v>
      </c>
      <c r="F543" t="s">
        <v>1209</v>
      </c>
    </row>
    <row r="544" spans="1:6" x14ac:dyDescent="0.3">
      <c r="A544" t="str">
        <f>HYPERLINK("https://hsdes.intel.com/resource/14013161291","14013161291")</f>
        <v>14013161291</v>
      </c>
      <c r="B544" t="s">
        <v>1424</v>
      </c>
      <c r="C544" t="s">
        <v>1425</v>
      </c>
      <c r="D544" t="s">
        <v>142</v>
      </c>
      <c r="E544" t="s">
        <v>63</v>
      </c>
      <c r="F544" t="s">
        <v>1156</v>
      </c>
    </row>
    <row r="545" spans="1:6" x14ac:dyDescent="0.3">
      <c r="A545" t="str">
        <f>HYPERLINK("https://hsdes.intel.com/resource/14013161293","14013161293")</f>
        <v>14013161293</v>
      </c>
      <c r="B545" t="s">
        <v>1426</v>
      </c>
      <c r="C545" t="s">
        <v>1427</v>
      </c>
      <c r="D545" t="s">
        <v>17</v>
      </c>
      <c r="E545" t="s">
        <v>18</v>
      </c>
      <c r="F545" t="s">
        <v>1428</v>
      </c>
    </row>
    <row r="546" spans="1:6" x14ac:dyDescent="0.3">
      <c r="A546" t="str">
        <f>HYPERLINK("https://hsdes.intel.com/resource/14013161298","14013161298")</f>
        <v>14013161298</v>
      </c>
      <c r="B546" t="s">
        <v>1429</v>
      </c>
      <c r="C546" t="s">
        <v>1430</v>
      </c>
      <c r="D546" t="s">
        <v>17</v>
      </c>
      <c r="E546" t="s">
        <v>18</v>
      </c>
      <c r="F546" t="s">
        <v>1179</v>
      </c>
    </row>
    <row r="547" spans="1:6" x14ac:dyDescent="0.3">
      <c r="A547" t="str">
        <f>HYPERLINK("https://hsdes.intel.com/resource/14013161308","14013161308")</f>
        <v>14013161308</v>
      </c>
      <c r="B547" t="s">
        <v>1431</v>
      </c>
      <c r="C547" t="s">
        <v>1432</v>
      </c>
      <c r="D547" t="s">
        <v>6</v>
      </c>
      <c r="E547" t="s">
        <v>1433</v>
      </c>
      <c r="F547" t="s">
        <v>1434</v>
      </c>
    </row>
    <row r="548" spans="1:6" x14ac:dyDescent="0.3">
      <c r="A548" t="str">
        <f>HYPERLINK("https://hsdes.intel.com/resource/14013161320","14013161320")</f>
        <v>14013161320</v>
      </c>
      <c r="B548" t="s">
        <v>1435</v>
      </c>
      <c r="C548" t="s">
        <v>1436</v>
      </c>
      <c r="D548" t="s">
        <v>142</v>
      </c>
      <c r="E548" t="s">
        <v>63</v>
      </c>
      <c r="F548" t="s">
        <v>1437</v>
      </c>
    </row>
    <row r="549" spans="1:6" x14ac:dyDescent="0.3">
      <c r="A549" t="str">
        <f>HYPERLINK("https://hsdes.intel.com/resource/14013161363","14013161363")</f>
        <v>14013161363</v>
      </c>
      <c r="B549" t="s">
        <v>1438</v>
      </c>
      <c r="C549" t="s">
        <v>1439</v>
      </c>
      <c r="D549" t="s">
        <v>142</v>
      </c>
      <c r="E549" t="s">
        <v>63</v>
      </c>
      <c r="F549" t="s">
        <v>1440</v>
      </c>
    </row>
    <row r="550" spans="1:6" x14ac:dyDescent="0.3">
      <c r="A550" t="str">
        <f>HYPERLINK("https://hsdes.intel.com/resource/14013161369","14013161369")</f>
        <v>14013161369</v>
      </c>
      <c r="B550" t="s">
        <v>1441</v>
      </c>
      <c r="C550" t="s">
        <v>1442</v>
      </c>
      <c r="D550" t="s">
        <v>142</v>
      </c>
      <c r="E550" t="s">
        <v>63</v>
      </c>
      <c r="F550" t="s">
        <v>1013</v>
      </c>
    </row>
    <row r="551" spans="1:6" x14ac:dyDescent="0.3">
      <c r="A551" t="str">
        <f>HYPERLINK("https://hsdes.intel.com/resource/14013161425","14013161425")</f>
        <v>14013161425</v>
      </c>
      <c r="B551" t="s">
        <v>1443</v>
      </c>
      <c r="C551" t="s">
        <v>1444</v>
      </c>
      <c r="D551" t="s">
        <v>29</v>
      </c>
      <c r="E551" t="s">
        <v>1311</v>
      </c>
      <c r="F551" t="s">
        <v>1445</v>
      </c>
    </row>
    <row r="552" spans="1:6" x14ac:dyDescent="0.3">
      <c r="A552" t="str">
        <f>HYPERLINK("https://hsdes.intel.com/resource/14013161426","14013161426")</f>
        <v>14013161426</v>
      </c>
      <c r="B552" t="s">
        <v>1446</v>
      </c>
      <c r="C552" t="s">
        <v>1447</v>
      </c>
      <c r="D552" t="s">
        <v>17</v>
      </c>
      <c r="E552" t="s">
        <v>30</v>
      </c>
      <c r="F552" t="s">
        <v>1179</v>
      </c>
    </row>
    <row r="553" spans="1:6" x14ac:dyDescent="0.3">
      <c r="A553" t="str">
        <f>HYPERLINK("https://hsdes.intel.com/resource/14013161430","14013161430")</f>
        <v>14013161430</v>
      </c>
      <c r="B553" t="s">
        <v>1448</v>
      </c>
      <c r="C553" t="s">
        <v>1449</v>
      </c>
      <c r="D553" t="s">
        <v>6</v>
      </c>
      <c r="E553" t="s">
        <v>648</v>
      </c>
      <c r="F553" t="s">
        <v>1450</v>
      </c>
    </row>
    <row r="554" spans="1:6" x14ac:dyDescent="0.3">
      <c r="A554" t="str">
        <f>HYPERLINK("https://hsdes.intel.com/resource/14013161435","14013161435")</f>
        <v>14013161435</v>
      </c>
      <c r="B554" t="s">
        <v>1451</v>
      </c>
      <c r="C554" t="s">
        <v>1452</v>
      </c>
      <c r="D554" t="s">
        <v>6</v>
      </c>
      <c r="E554" t="s">
        <v>648</v>
      </c>
      <c r="F554" t="s">
        <v>1450</v>
      </c>
    </row>
    <row r="555" spans="1:6" x14ac:dyDescent="0.3">
      <c r="A555" t="str">
        <f>HYPERLINK("https://hsdes.intel.com/resource/14013161439","14013161439")</f>
        <v>14013161439</v>
      </c>
      <c r="B555" t="s">
        <v>1453</v>
      </c>
      <c r="C555" t="s">
        <v>1454</v>
      </c>
      <c r="D555" t="s">
        <v>6</v>
      </c>
      <c r="E555" t="s">
        <v>648</v>
      </c>
      <c r="F555" t="s">
        <v>1450</v>
      </c>
    </row>
    <row r="556" spans="1:6" x14ac:dyDescent="0.3">
      <c r="A556" t="str">
        <f>HYPERLINK("https://hsdes.intel.com/resource/14013161443","14013161443")</f>
        <v>14013161443</v>
      </c>
      <c r="B556" t="s">
        <v>1455</v>
      </c>
      <c r="C556" t="s">
        <v>1456</v>
      </c>
      <c r="D556" t="s">
        <v>17</v>
      </c>
      <c r="E556" t="s">
        <v>30</v>
      </c>
      <c r="F556" t="s">
        <v>1457</v>
      </c>
    </row>
    <row r="557" spans="1:6" x14ac:dyDescent="0.3">
      <c r="A557" t="str">
        <f>HYPERLINK("https://hsdes.intel.com/resource/14013161458","14013161458")</f>
        <v>14013161458</v>
      </c>
      <c r="B557" t="s">
        <v>1458</v>
      </c>
      <c r="C557" t="s">
        <v>1459</v>
      </c>
      <c r="D557" t="s">
        <v>29</v>
      </c>
      <c r="E557" t="s">
        <v>232</v>
      </c>
      <c r="F557" t="s">
        <v>1460</v>
      </c>
    </row>
    <row r="558" spans="1:6" x14ac:dyDescent="0.3">
      <c r="A558" t="str">
        <f>HYPERLINK("https://hsdes.intel.com/resource/14013161460","14013161460")</f>
        <v>14013161460</v>
      </c>
      <c r="B558" t="s">
        <v>1461</v>
      </c>
      <c r="C558" t="s">
        <v>1462</v>
      </c>
      <c r="D558" t="s">
        <v>29</v>
      </c>
      <c r="E558" t="s">
        <v>232</v>
      </c>
      <c r="F558" t="s">
        <v>1460</v>
      </c>
    </row>
    <row r="559" spans="1:6" x14ac:dyDescent="0.3">
      <c r="A559" t="str">
        <f>HYPERLINK("https://hsdes.intel.com/resource/14013161466","14013161466")</f>
        <v>14013161466</v>
      </c>
      <c r="B559" t="s">
        <v>1463</v>
      </c>
      <c r="C559" t="s">
        <v>1464</v>
      </c>
      <c r="D559" t="s">
        <v>29</v>
      </c>
      <c r="E559" t="s">
        <v>232</v>
      </c>
      <c r="F559" t="s">
        <v>1460</v>
      </c>
    </row>
    <row r="560" spans="1:6" x14ac:dyDescent="0.3">
      <c r="A560" t="str">
        <f>HYPERLINK("https://hsdes.intel.com/resource/14013161469","14013161469")</f>
        <v>14013161469</v>
      </c>
      <c r="B560" t="s">
        <v>1465</v>
      </c>
      <c r="C560" t="s">
        <v>1466</v>
      </c>
      <c r="D560" t="s">
        <v>29</v>
      </c>
      <c r="E560" t="s">
        <v>232</v>
      </c>
      <c r="F560" t="s">
        <v>1460</v>
      </c>
    </row>
    <row r="561" spans="1:6" x14ac:dyDescent="0.3">
      <c r="A561" t="str">
        <f>HYPERLINK("https://hsdes.intel.com/resource/14013161527","14013161527")</f>
        <v>14013161527</v>
      </c>
      <c r="B561" t="s">
        <v>1467</v>
      </c>
      <c r="C561" t="s">
        <v>1468</v>
      </c>
      <c r="D561" t="s">
        <v>6</v>
      </c>
      <c r="E561" t="s">
        <v>30</v>
      </c>
      <c r="F561" t="s">
        <v>8</v>
      </c>
    </row>
    <row r="562" spans="1:6" x14ac:dyDescent="0.3">
      <c r="A562" t="str">
        <f>HYPERLINK("https://hsdes.intel.com/resource/14013161560","14013161560")</f>
        <v>14013161560</v>
      </c>
      <c r="B562" t="s">
        <v>1469</v>
      </c>
      <c r="C562" t="s">
        <v>1470</v>
      </c>
      <c r="D562" t="s">
        <v>17</v>
      </c>
      <c r="E562" t="s">
        <v>30</v>
      </c>
      <c r="F562" t="s">
        <v>1471</v>
      </c>
    </row>
    <row r="563" spans="1:6" x14ac:dyDescent="0.3">
      <c r="A563" t="str">
        <f>HYPERLINK("https://hsdes.intel.com/resource/14013161588","14013161588")</f>
        <v>14013161588</v>
      </c>
      <c r="B563" t="s">
        <v>1472</v>
      </c>
      <c r="C563" t="s">
        <v>1473</v>
      </c>
      <c r="D563" t="s">
        <v>17</v>
      </c>
      <c r="E563" t="s">
        <v>30</v>
      </c>
      <c r="F563" t="s">
        <v>1474</v>
      </c>
    </row>
    <row r="564" spans="1:6" x14ac:dyDescent="0.3">
      <c r="A564" t="str">
        <f>HYPERLINK("https://hsdes.intel.com/resource/14013161591","14013161591")</f>
        <v>14013161591</v>
      </c>
      <c r="B564" t="s">
        <v>1475</v>
      </c>
      <c r="C564" t="s">
        <v>1476</v>
      </c>
      <c r="D564" t="s">
        <v>6</v>
      </c>
      <c r="E564" t="s">
        <v>18</v>
      </c>
      <c r="F564" t="s">
        <v>1477</v>
      </c>
    </row>
    <row r="565" spans="1:6" x14ac:dyDescent="0.3">
      <c r="A565" t="str">
        <f>HYPERLINK("https://hsdes.intel.com/resource/14013161593","14013161593")</f>
        <v>14013161593</v>
      </c>
      <c r="B565" t="s">
        <v>1478</v>
      </c>
      <c r="C565" t="s">
        <v>1479</v>
      </c>
      <c r="D565" t="s">
        <v>22</v>
      </c>
      <c r="E565" t="s">
        <v>18</v>
      </c>
      <c r="F565" t="s">
        <v>1156</v>
      </c>
    </row>
    <row r="566" spans="1:6" x14ac:dyDescent="0.3">
      <c r="A566" t="str">
        <f>HYPERLINK("https://hsdes.intel.com/resource/14013161594","14013161594")</f>
        <v>14013161594</v>
      </c>
      <c r="B566" t="s">
        <v>1480</v>
      </c>
      <c r="C566" t="s">
        <v>1481</v>
      </c>
      <c r="D566" t="s">
        <v>22</v>
      </c>
      <c r="E566" t="s">
        <v>18</v>
      </c>
      <c r="F566" t="s">
        <v>1156</v>
      </c>
    </row>
    <row r="567" spans="1:6" x14ac:dyDescent="0.3">
      <c r="A567" t="str">
        <f>HYPERLINK("https://hsdes.intel.com/resource/14013161603","14013161603")</f>
        <v>14013161603</v>
      </c>
      <c r="B567" t="s">
        <v>1482</v>
      </c>
      <c r="C567" t="s">
        <v>1483</v>
      </c>
      <c r="D567" t="s">
        <v>6</v>
      </c>
      <c r="E567" t="s">
        <v>18</v>
      </c>
      <c r="F567" t="s">
        <v>8</v>
      </c>
    </row>
    <row r="568" spans="1:6" x14ac:dyDescent="0.3">
      <c r="A568" t="str">
        <f>HYPERLINK("https://hsdes.intel.com/resource/14013161605","14013161605")</f>
        <v>14013161605</v>
      </c>
      <c r="B568" t="s">
        <v>1484</v>
      </c>
      <c r="C568" t="s">
        <v>1485</v>
      </c>
      <c r="D568" t="s">
        <v>17</v>
      </c>
      <c r="E568" t="s">
        <v>30</v>
      </c>
      <c r="F568" t="s">
        <v>1486</v>
      </c>
    </row>
    <row r="569" spans="1:6" x14ac:dyDescent="0.3">
      <c r="A569" t="str">
        <f>HYPERLINK("https://hsdes.intel.com/resource/14013161624","14013161624")</f>
        <v>14013161624</v>
      </c>
      <c r="B569" t="s">
        <v>1487</v>
      </c>
      <c r="C569" t="s">
        <v>1488</v>
      </c>
      <c r="D569" t="s">
        <v>142</v>
      </c>
      <c r="E569" t="s">
        <v>63</v>
      </c>
      <c r="F569" t="s">
        <v>1489</v>
      </c>
    </row>
    <row r="570" spans="1:6" x14ac:dyDescent="0.3">
      <c r="A570" t="str">
        <f>HYPERLINK("https://hsdes.intel.com/resource/14013161628","14013161628")</f>
        <v>14013161628</v>
      </c>
      <c r="B570" t="s">
        <v>1490</v>
      </c>
      <c r="C570" t="s">
        <v>1491</v>
      </c>
      <c r="D570" t="s">
        <v>142</v>
      </c>
      <c r="E570" t="s">
        <v>63</v>
      </c>
      <c r="F570" t="s">
        <v>1437</v>
      </c>
    </row>
    <row r="571" spans="1:6" x14ac:dyDescent="0.3">
      <c r="A571" t="str">
        <f>HYPERLINK("https://hsdes.intel.com/resource/14013161635","14013161635")</f>
        <v>14013161635</v>
      </c>
      <c r="B571" t="s">
        <v>1492</v>
      </c>
      <c r="C571" t="s">
        <v>1493</v>
      </c>
      <c r="D571" t="s">
        <v>142</v>
      </c>
      <c r="E571" t="s">
        <v>63</v>
      </c>
      <c r="F571" t="s">
        <v>1494</v>
      </c>
    </row>
    <row r="572" spans="1:6" x14ac:dyDescent="0.3">
      <c r="A572" t="str">
        <f>HYPERLINK("https://hsdes.intel.com/resource/14013161649","14013161649")</f>
        <v>14013161649</v>
      </c>
      <c r="B572" t="s">
        <v>1495</v>
      </c>
      <c r="C572" t="s">
        <v>1496</v>
      </c>
      <c r="D572" t="s">
        <v>142</v>
      </c>
      <c r="E572" t="s">
        <v>63</v>
      </c>
      <c r="F572" t="s">
        <v>1437</v>
      </c>
    </row>
    <row r="573" spans="1:6" x14ac:dyDescent="0.3">
      <c r="A573" t="str">
        <f>HYPERLINK("https://hsdes.intel.com/resource/14013161657","14013161657")</f>
        <v>14013161657</v>
      </c>
      <c r="B573" t="s">
        <v>1497</v>
      </c>
      <c r="C573" t="s">
        <v>1498</v>
      </c>
      <c r="D573" t="s">
        <v>142</v>
      </c>
      <c r="E573" t="s">
        <v>63</v>
      </c>
      <c r="F573" t="s">
        <v>862</v>
      </c>
    </row>
    <row r="574" spans="1:6" x14ac:dyDescent="0.3">
      <c r="A574" t="str">
        <f>HYPERLINK("https://hsdes.intel.com/resource/14013161663","14013161663")</f>
        <v>14013161663</v>
      </c>
      <c r="B574" t="s">
        <v>1499</v>
      </c>
      <c r="C574" t="s">
        <v>1500</v>
      </c>
      <c r="D574" t="s">
        <v>142</v>
      </c>
      <c r="E574" t="s">
        <v>63</v>
      </c>
      <c r="F574" t="s">
        <v>1501</v>
      </c>
    </row>
    <row r="575" spans="1:6" x14ac:dyDescent="0.3">
      <c r="A575" t="str">
        <f>HYPERLINK("https://hsdes.intel.com/resource/14013161674","14013161674")</f>
        <v>14013161674</v>
      </c>
      <c r="B575" t="s">
        <v>1502</v>
      </c>
      <c r="C575" t="s">
        <v>1503</v>
      </c>
      <c r="D575" t="s">
        <v>142</v>
      </c>
      <c r="E575" t="s">
        <v>730</v>
      </c>
      <c r="F575" t="s">
        <v>1504</v>
      </c>
    </row>
    <row r="576" spans="1:6" x14ac:dyDescent="0.3">
      <c r="A576" t="str">
        <f>HYPERLINK("https://hsdes.intel.com/resource/14013161698","14013161698")</f>
        <v>14013161698</v>
      </c>
      <c r="B576" t="s">
        <v>1505</v>
      </c>
      <c r="C576" t="s">
        <v>1506</v>
      </c>
      <c r="D576" t="s">
        <v>17</v>
      </c>
      <c r="E576" t="s">
        <v>18</v>
      </c>
      <c r="F576" t="s">
        <v>1507</v>
      </c>
    </row>
    <row r="577" spans="1:6" x14ac:dyDescent="0.3">
      <c r="A577" t="str">
        <f>HYPERLINK("https://hsdes.intel.com/resource/14013161700","14013161700")</f>
        <v>14013161700</v>
      </c>
      <c r="B577" t="s">
        <v>1508</v>
      </c>
      <c r="C577" t="s">
        <v>1509</v>
      </c>
      <c r="D577" t="s">
        <v>17</v>
      </c>
      <c r="E577" t="s">
        <v>18</v>
      </c>
      <c r="F577" t="s">
        <v>1507</v>
      </c>
    </row>
    <row r="578" spans="1:6" x14ac:dyDescent="0.3">
      <c r="A578" t="str">
        <f>HYPERLINK("https://hsdes.intel.com/resource/14013161706","14013161706")</f>
        <v>14013161706</v>
      </c>
      <c r="B578" t="s">
        <v>1510</v>
      </c>
      <c r="C578" t="s">
        <v>1511</v>
      </c>
      <c r="D578" t="s">
        <v>17</v>
      </c>
      <c r="E578" t="s">
        <v>63</v>
      </c>
      <c r="F578" t="s">
        <v>1512</v>
      </c>
    </row>
    <row r="579" spans="1:6" x14ac:dyDescent="0.3">
      <c r="A579" t="str">
        <f>HYPERLINK("https://hsdes.intel.com/resource/14013161721","14013161721")</f>
        <v>14013161721</v>
      </c>
      <c r="B579" t="s">
        <v>1513</v>
      </c>
      <c r="C579" t="s">
        <v>1514</v>
      </c>
      <c r="D579" t="s">
        <v>22</v>
      </c>
      <c r="E579" t="s">
        <v>18</v>
      </c>
      <c r="F579" t="s">
        <v>1515</v>
      </c>
    </row>
    <row r="580" spans="1:6" x14ac:dyDescent="0.3">
      <c r="A580" t="str">
        <f>HYPERLINK("https://hsdes.intel.com/resource/14013161732","14013161732")</f>
        <v>14013161732</v>
      </c>
      <c r="B580" t="s">
        <v>1516</v>
      </c>
      <c r="C580" t="s">
        <v>1517</v>
      </c>
      <c r="D580" t="s">
        <v>22</v>
      </c>
      <c r="E580" t="s">
        <v>18</v>
      </c>
      <c r="F580" t="s">
        <v>1518</v>
      </c>
    </row>
    <row r="581" spans="1:6" x14ac:dyDescent="0.3">
      <c r="A581" t="str">
        <f>HYPERLINK("https://hsdes.intel.com/resource/14013161805","14013161805")</f>
        <v>14013161805</v>
      </c>
      <c r="B581" t="s">
        <v>1519</v>
      </c>
      <c r="C581" t="s">
        <v>1520</v>
      </c>
      <c r="D581" t="s">
        <v>142</v>
      </c>
      <c r="E581" t="s">
        <v>730</v>
      </c>
      <c r="F581" t="s">
        <v>1521</v>
      </c>
    </row>
    <row r="582" spans="1:6" x14ac:dyDescent="0.3">
      <c r="A582" t="str">
        <f>HYPERLINK("https://hsdes.intel.com/resource/14013161866","14013161866")</f>
        <v>14013161866</v>
      </c>
      <c r="B582" t="s">
        <v>1522</v>
      </c>
      <c r="C582" t="s">
        <v>1523</v>
      </c>
      <c r="D582" t="s">
        <v>142</v>
      </c>
      <c r="E582" t="s">
        <v>63</v>
      </c>
      <c r="F582" t="s">
        <v>1524</v>
      </c>
    </row>
    <row r="583" spans="1:6" x14ac:dyDescent="0.3">
      <c r="A583" t="str">
        <f>HYPERLINK("https://hsdes.intel.com/resource/14013161901","14013161901")</f>
        <v>14013161901</v>
      </c>
      <c r="B583" t="s">
        <v>1525</v>
      </c>
      <c r="C583" t="s">
        <v>1526</v>
      </c>
      <c r="D583" t="s">
        <v>22</v>
      </c>
      <c r="E583" t="s">
        <v>30</v>
      </c>
      <c r="F583" t="s">
        <v>1527</v>
      </c>
    </row>
    <row r="584" spans="1:6" x14ac:dyDescent="0.3">
      <c r="A584" t="str">
        <f>HYPERLINK("https://hsdes.intel.com/resource/14013161905","14013161905")</f>
        <v>14013161905</v>
      </c>
      <c r="B584" t="s">
        <v>1528</v>
      </c>
      <c r="C584" t="s">
        <v>1529</v>
      </c>
      <c r="D584" t="s">
        <v>22</v>
      </c>
      <c r="E584" t="s">
        <v>30</v>
      </c>
      <c r="F584" t="s">
        <v>1530</v>
      </c>
    </row>
    <row r="585" spans="1:6" x14ac:dyDescent="0.3">
      <c r="A585" t="str">
        <f>HYPERLINK("https://hsdes.intel.com/resource/14013161928","14013161928")</f>
        <v>14013161928</v>
      </c>
      <c r="B585" t="s">
        <v>1531</v>
      </c>
      <c r="C585" t="s">
        <v>1532</v>
      </c>
      <c r="D585" t="s">
        <v>62</v>
      </c>
      <c r="E585" t="s">
        <v>30</v>
      </c>
      <c r="F585" t="s">
        <v>1179</v>
      </c>
    </row>
    <row r="586" spans="1:6" x14ac:dyDescent="0.3">
      <c r="A586" t="str">
        <f>HYPERLINK("https://hsdes.intel.com/resource/14013161937","14013161937")</f>
        <v>14013161937</v>
      </c>
      <c r="B586" t="s">
        <v>1533</v>
      </c>
      <c r="C586" t="s">
        <v>1534</v>
      </c>
      <c r="D586" t="s">
        <v>17</v>
      </c>
      <c r="E586" t="s">
        <v>18</v>
      </c>
      <c r="F586" t="s">
        <v>1361</v>
      </c>
    </row>
    <row r="587" spans="1:6" x14ac:dyDescent="0.3">
      <c r="A587" t="str">
        <f>HYPERLINK("https://hsdes.intel.com/resource/14013162068","14013162068")</f>
        <v>14013162068</v>
      </c>
      <c r="B587" t="s">
        <v>1535</v>
      </c>
      <c r="C587" t="s">
        <v>1536</v>
      </c>
      <c r="D587" t="s">
        <v>98</v>
      </c>
      <c r="E587" t="s">
        <v>408</v>
      </c>
      <c r="F587" t="s">
        <v>1512</v>
      </c>
    </row>
    <row r="588" spans="1:6" x14ac:dyDescent="0.3">
      <c r="A588" t="str">
        <f>HYPERLINK("https://hsdes.intel.com/resource/14013162071","14013162071")</f>
        <v>14013162071</v>
      </c>
      <c r="B588" t="s">
        <v>1537</v>
      </c>
      <c r="C588" t="s">
        <v>1538</v>
      </c>
      <c r="D588" t="s">
        <v>22</v>
      </c>
      <c r="E588" t="s">
        <v>18</v>
      </c>
      <c r="F588" t="s">
        <v>1539</v>
      </c>
    </row>
    <row r="589" spans="1:6" x14ac:dyDescent="0.3">
      <c r="A589" t="str">
        <f>HYPERLINK("https://hsdes.intel.com/resource/14013162075","14013162075")</f>
        <v>14013162075</v>
      </c>
      <c r="B589" t="s">
        <v>1540</v>
      </c>
      <c r="C589" t="s">
        <v>1541</v>
      </c>
      <c r="D589" t="s">
        <v>22</v>
      </c>
      <c r="E589" t="s">
        <v>18</v>
      </c>
      <c r="F589" t="s">
        <v>464</v>
      </c>
    </row>
    <row r="590" spans="1:6" x14ac:dyDescent="0.3">
      <c r="A590" t="str">
        <f>HYPERLINK("https://hsdes.intel.com/resource/14013162078","14013162078")</f>
        <v>14013162078</v>
      </c>
      <c r="B590" t="s">
        <v>1542</v>
      </c>
      <c r="C590" t="s">
        <v>1543</v>
      </c>
      <c r="D590" t="s">
        <v>142</v>
      </c>
      <c r="E590" t="s">
        <v>63</v>
      </c>
      <c r="F590" t="s">
        <v>1341</v>
      </c>
    </row>
    <row r="591" spans="1:6" x14ac:dyDescent="0.3">
      <c r="A591" t="str">
        <f>HYPERLINK("https://hsdes.intel.com/resource/14013162084","14013162084")</f>
        <v>14013162084</v>
      </c>
      <c r="B591" t="s">
        <v>1544</v>
      </c>
      <c r="C591" t="s">
        <v>1545</v>
      </c>
      <c r="D591" t="s">
        <v>22</v>
      </c>
      <c r="E591" t="s">
        <v>18</v>
      </c>
      <c r="F591" t="s">
        <v>1546</v>
      </c>
    </row>
    <row r="592" spans="1:6" x14ac:dyDescent="0.3">
      <c r="A592" t="str">
        <f>HYPERLINK("https://hsdes.intel.com/resource/14013162087","14013162087")</f>
        <v>14013162087</v>
      </c>
      <c r="B592" t="s">
        <v>1547</v>
      </c>
      <c r="C592" t="s">
        <v>1548</v>
      </c>
      <c r="D592" t="s">
        <v>22</v>
      </c>
      <c r="E592" t="s">
        <v>18</v>
      </c>
      <c r="F592" t="s">
        <v>1549</v>
      </c>
    </row>
    <row r="593" spans="1:6" x14ac:dyDescent="0.3">
      <c r="A593" t="str">
        <f>HYPERLINK("https://hsdes.intel.com/resource/14013162123","14013162123")</f>
        <v>14013162123</v>
      </c>
      <c r="B593" t="s">
        <v>1550</v>
      </c>
      <c r="C593" t="s">
        <v>1551</v>
      </c>
      <c r="D593" t="s">
        <v>29</v>
      </c>
      <c r="E593" t="s">
        <v>232</v>
      </c>
      <c r="F593" t="s">
        <v>1552</v>
      </c>
    </row>
    <row r="594" spans="1:6" x14ac:dyDescent="0.3">
      <c r="A594" t="str">
        <f>HYPERLINK("https://hsdes.intel.com/resource/14013162139","14013162139")</f>
        <v>14013162139</v>
      </c>
      <c r="B594" t="s">
        <v>1553</v>
      </c>
      <c r="C594" t="s">
        <v>1554</v>
      </c>
      <c r="D594" t="s">
        <v>29</v>
      </c>
      <c r="E594" t="s">
        <v>232</v>
      </c>
      <c r="F594" t="s">
        <v>1460</v>
      </c>
    </row>
    <row r="595" spans="1:6" x14ac:dyDescent="0.3">
      <c r="A595" t="str">
        <f>HYPERLINK("https://hsdes.intel.com/resource/14013162142","14013162142")</f>
        <v>14013162142</v>
      </c>
      <c r="B595" t="s">
        <v>1555</v>
      </c>
      <c r="C595" t="s">
        <v>1556</v>
      </c>
      <c r="D595" t="s">
        <v>29</v>
      </c>
      <c r="E595" t="s">
        <v>246</v>
      </c>
      <c r="F595" t="s">
        <v>1557</v>
      </c>
    </row>
    <row r="596" spans="1:6" x14ac:dyDescent="0.3">
      <c r="A596" t="str">
        <f>HYPERLINK("https://hsdes.intel.com/resource/14013162181","14013162181")</f>
        <v>14013162181</v>
      </c>
      <c r="B596" t="s">
        <v>1558</v>
      </c>
      <c r="C596" t="s">
        <v>1559</v>
      </c>
      <c r="D596" t="s">
        <v>29</v>
      </c>
      <c r="E596" t="s">
        <v>232</v>
      </c>
      <c r="F596" t="s">
        <v>1460</v>
      </c>
    </row>
    <row r="597" spans="1:6" x14ac:dyDescent="0.3">
      <c r="A597" t="str">
        <f>HYPERLINK("https://hsdes.intel.com/resource/14013162184","14013162184")</f>
        <v>14013162184</v>
      </c>
      <c r="B597" t="s">
        <v>1560</v>
      </c>
      <c r="C597" t="s">
        <v>1561</v>
      </c>
      <c r="D597" t="s">
        <v>29</v>
      </c>
      <c r="E597" t="s">
        <v>232</v>
      </c>
      <c r="F597" t="s">
        <v>1460</v>
      </c>
    </row>
    <row r="598" spans="1:6" x14ac:dyDescent="0.3">
      <c r="A598" t="str">
        <f>HYPERLINK("https://hsdes.intel.com/resource/14013162195","14013162195")</f>
        <v>14013162195</v>
      </c>
      <c r="B598" t="s">
        <v>1562</v>
      </c>
      <c r="C598" t="s">
        <v>1563</v>
      </c>
      <c r="D598" t="s">
        <v>29</v>
      </c>
      <c r="E598" t="s">
        <v>232</v>
      </c>
      <c r="F598" t="s">
        <v>1460</v>
      </c>
    </row>
    <row r="599" spans="1:6" x14ac:dyDescent="0.3">
      <c r="A599" t="str">
        <f>HYPERLINK("https://hsdes.intel.com/resource/14013162197","14013162197")</f>
        <v>14013162197</v>
      </c>
      <c r="B599" t="s">
        <v>1564</v>
      </c>
      <c r="C599" t="s">
        <v>1565</v>
      </c>
      <c r="D599" t="s">
        <v>29</v>
      </c>
      <c r="E599" t="s">
        <v>232</v>
      </c>
      <c r="F599" t="s">
        <v>1460</v>
      </c>
    </row>
    <row r="600" spans="1:6" x14ac:dyDescent="0.3">
      <c r="A600" t="str">
        <f>HYPERLINK("https://hsdes.intel.com/resource/14013162199","14013162199")</f>
        <v>14013162199</v>
      </c>
      <c r="B600" t="s">
        <v>1566</v>
      </c>
      <c r="C600" t="s">
        <v>1567</v>
      </c>
      <c r="D600" t="s">
        <v>29</v>
      </c>
      <c r="E600" t="s">
        <v>232</v>
      </c>
      <c r="F600" t="s">
        <v>1460</v>
      </c>
    </row>
    <row r="601" spans="1:6" x14ac:dyDescent="0.3">
      <c r="A601" t="str">
        <f>HYPERLINK("https://hsdes.intel.com/resource/14013162203","14013162203")</f>
        <v>14013162203</v>
      </c>
      <c r="B601" t="s">
        <v>1568</v>
      </c>
      <c r="C601" t="s">
        <v>1569</v>
      </c>
      <c r="D601" t="s">
        <v>29</v>
      </c>
      <c r="E601" t="s">
        <v>232</v>
      </c>
      <c r="F601" t="s">
        <v>1460</v>
      </c>
    </row>
    <row r="602" spans="1:6" x14ac:dyDescent="0.3">
      <c r="A602" t="str">
        <f>HYPERLINK("https://hsdes.intel.com/resource/14013162215","14013162215")</f>
        <v>14013162215</v>
      </c>
      <c r="B602" t="s">
        <v>1570</v>
      </c>
      <c r="C602" t="s">
        <v>1571</v>
      </c>
      <c r="D602" t="s">
        <v>29</v>
      </c>
      <c r="E602" t="s">
        <v>232</v>
      </c>
      <c r="F602" t="s">
        <v>1460</v>
      </c>
    </row>
    <row r="603" spans="1:6" x14ac:dyDescent="0.3">
      <c r="A603" t="str">
        <f>HYPERLINK("https://hsdes.intel.com/resource/14013162222","14013162222")</f>
        <v>14013162222</v>
      </c>
      <c r="B603" t="s">
        <v>1572</v>
      </c>
      <c r="C603" t="s">
        <v>1573</v>
      </c>
      <c r="D603" t="s">
        <v>29</v>
      </c>
      <c r="E603" t="s">
        <v>232</v>
      </c>
      <c r="F603" t="s">
        <v>1574</v>
      </c>
    </row>
    <row r="604" spans="1:6" x14ac:dyDescent="0.3">
      <c r="A604" t="str">
        <f>HYPERLINK("https://hsdes.intel.com/resource/14013162369","14013162369")</f>
        <v>14013162369</v>
      </c>
      <c r="B604" t="s">
        <v>1575</v>
      </c>
      <c r="C604" t="s">
        <v>1576</v>
      </c>
      <c r="D604" t="s">
        <v>98</v>
      </c>
      <c r="E604" t="s">
        <v>63</v>
      </c>
      <c r="F604" t="s">
        <v>1577</v>
      </c>
    </row>
    <row r="605" spans="1:6" x14ac:dyDescent="0.3">
      <c r="A605" t="str">
        <f>HYPERLINK("https://hsdes.intel.com/resource/14013162374","14013162374")</f>
        <v>14013162374</v>
      </c>
      <c r="B605" t="s">
        <v>1578</v>
      </c>
      <c r="C605" t="s">
        <v>1579</v>
      </c>
      <c r="D605" t="s">
        <v>142</v>
      </c>
      <c r="E605" t="s">
        <v>730</v>
      </c>
      <c r="F605" t="s">
        <v>1580</v>
      </c>
    </row>
    <row r="606" spans="1:6" x14ac:dyDescent="0.3">
      <c r="A606" t="str">
        <f>HYPERLINK("https://hsdes.intel.com/resource/14013162379","14013162379")</f>
        <v>14013162379</v>
      </c>
      <c r="B606" t="s">
        <v>1581</v>
      </c>
      <c r="C606" t="s">
        <v>1582</v>
      </c>
      <c r="D606" t="s">
        <v>142</v>
      </c>
      <c r="E606" t="s">
        <v>730</v>
      </c>
      <c r="F606" t="s">
        <v>1580</v>
      </c>
    </row>
    <row r="607" spans="1:6" x14ac:dyDescent="0.3">
      <c r="A607" t="str">
        <f>HYPERLINK("https://hsdes.intel.com/resource/14013162391","14013162391")</f>
        <v>14013162391</v>
      </c>
      <c r="B607" t="s">
        <v>1583</v>
      </c>
      <c r="C607" t="s">
        <v>1584</v>
      </c>
      <c r="D607" t="s">
        <v>142</v>
      </c>
      <c r="E607" t="s">
        <v>63</v>
      </c>
      <c r="F607" t="s">
        <v>1156</v>
      </c>
    </row>
    <row r="608" spans="1:6" x14ac:dyDescent="0.3">
      <c r="A608" t="str">
        <f>HYPERLINK("https://hsdes.intel.com/resource/14013162393","14013162393")</f>
        <v>14013162393</v>
      </c>
      <c r="B608" t="s">
        <v>1585</v>
      </c>
      <c r="C608" t="s">
        <v>1586</v>
      </c>
      <c r="D608" t="s">
        <v>142</v>
      </c>
      <c r="E608" t="s">
        <v>63</v>
      </c>
      <c r="F608" t="s">
        <v>1587</v>
      </c>
    </row>
    <row r="609" spans="1:6" x14ac:dyDescent="0.3">
      <c r="A609" t="str">
        <f>HYPERLINK("https://hsdes.intel.com/resource/14013162402","14013162402")</f>
        <v>14013162402</v>
      </c>
      <c r="B609" t="s">
        <v>1588</v>
      </c>
      <c r="C609" t="s">
        <v>1589</v>
      </c>
      <c r="D609" t="s">
        <v>142</v>
      </c>
      <c r="E609" t="s">
        <v>63</v>
      </c>
      <c r="F609" t="s">
        <v>1590</v>
      </c>
    </row>
    <row r="610" spans="1:6" x14ac:dyDescent="0.3">
      <c r="A610" t="str">
        <f>HYPERLINK("https://hsdes.intel.com/resource/14013162425","14013162425")</f>
        <v>14013162425</v>
      </c>
      <c r="B610" t="s">
        <v>1591</v>
      </c>
      <c r="C610" t="s">
        <v>1592</v>
      </c>
      <c r="D610" t="s">
        <v>142</v>
      </c>
      <c r="E610" t="s">
        <v>30</v>
      </c>
      <c r="F610" t="s">
        <v>1593</v>
      </c>
    </row>
    <row r="611" spans="1:6" x14ac:dyDescent="0.3">
      <c r="A611" t="str">
        <f>HYPERLINK("https://hsdes.intel.com/resource/14013162427","14013162427")</f>
        <v>14013162427</v>
      </c>
      <c r="B611" t="s">
        <v>1594</v>
      </c>
      <c r="C611" t="s">
        <v>1595</v>
      </c>
      <c r="D611" t="s">
        <v>142</v>
      </c>
      <c r="E611" t="s">
        <v>30</v>
      </c>
      <c r="F611" t="s">
        <v>1593</v>
      </c>
    </row>
    <row r="612" spans="1:6" x14ac:dyDescent="0.3">
      <c r="A612" t="str">
        <f>HYPERLINK("https://hsdes.intel.com/resource/14013162436","14013162436")</f>
        <v>14013162436</v>
      </c>
      <c r="B612" t="s">
        <v>1596</v>
      </c>
      <c r="C612" t="s">
        <v>1597</v>
      </c>
      <c r="D612" t="s">
        <v>142</v>
      </c>
      <c r="E612" t="s">
        <v>30</v>
      </c>
      <c r="F612" t="s">
        <v>1598</v>
      </c>
    </row>
    <row r="613" spans="1:6" x14ac:dyDescent="0.3">
      <c r="A613" t="str">
        <f>HYPERLINK("https://hsdes.intel.com/resource/14013162443","14013162443")</f>
        <v>14013162443</v>
      </c>
      <c r="B613" t="s">
        <v>1599</v>
      </c>
      <c r="C613" t="s">
        <v>1600</v>
      </c>
      <c r="D613" t="s">
        <v>142</v>
      </c>
      <c r="E613" t="s">
        <v>30</v>
      </c>
      <c r="F613" t="s">
        <v>1598</v>
      </c>
    </row>
    <row r="614" spans="1:6" x14ac:dyDescent="0.3">
      <c r="A614" t="str">
        <f>HYPERLINK("https://hsdes.intel.com/resource/14013162522","14013162522")</f>
        <v>14013162522</v>
      </c>
      <c r="B614" t="s">
        <v>1601</v>
      </c>
      <c r="C614" t="s">
        <v>1602</v>
      </c>
      <c r="D614" t="s">
        <v>22</v>
      </c>
      <c r="E614" t="s">
        <v>30</v>
      </c>
      <c r="F614" t="s">
        <v>760</v>
      </c>
    </row>
    <row r="615" spans="1:6" x14ac:dyDescent="0.3">
      <c r="A615" t="str">
        <f>HYPERLINK("https://hsdes.intel.com/resource/14013162568","14013162568")</f>
        <v>14013162568</v>
      </c>
      <c r="B615" t="s">
        <v>1603</v>
      </c>
      <c r="C615" t="s">
        <v>1604</v>
      </c>
      <c r="D615" t="s">
        <v>6</v>
      </c>
      <c r="E615" t="s">
        <v>30</v>
      </c>
      <c r="F615" t="s">
        <v>8</v>
      </c>
    </row>
    <row r="616" spans="1:6" x14ac:dyDescent="0.3">
      <c r="A616" t="str">
        <f>HYPERLINK("https://hsdes.intel.com/resource/14013162580","14013162580")</f>
        <v>14013162580</v>
      </c>
      <c r="B616" t="s">
        <v>1605</v>
      </c>
      <c r="C616" t="s">
        <v>1606</v>
      </c>
      <c r="D616" t="s">
        <v>22</v>
      </c>
      <c r="E616" t="s">
        <v>18</v>
      </c>
      <c r="F616" t="s">
        <v>574</v>
      </c>
    </row>
    <row r="617" spans="1:6" x14ac:dyDescent="0.3">
      <c r="A617" t="str">
        <f>HYPERLINK("https://hsdes.intel.com/resource/14013162583","14013162583")</f>
        <v>14013162583</v>
      </c>
      <c r="B617" t="s">
        <v>1607</v>
      </c>
      <c r="C617" t="s">
        <v>1608</v>
      </c>
      <c r="D617" t="s">
        <v>17</v>
      </c>
      <c r="E617" t="s">
        <v>30</v>
      </c>
      <c r="F617" t="s">
        <v>1609</v>
      </c>
    </row>
    <row r="618" spans="1:6" x14ac:dyDescent="0.3">
      <c r="A618" t="str">
        <f>HYPERLINK("https://hsdes.intel.com/resource/14013162766","14013162766")</f>
        <v>14013162766</v>
      </c>
      <c r="B618" t="s">
        <v>1610</v>
      </c>
      <c r="C618" t="s">
        <v>1611</v>
      </c>
      <c r="D618" t="s">
        <v>22</v>
      </c>
      <c r="E618" t="s">
        <v>30</v>
      </c>
      <c r="F618" t="s">
        <v>1612</v>
      </c>
    </row>
    <row r="619" spans="1:6" x14ac:dyDescent="0.3">
      <c r="A619" t="str">
        <f>HYPERLINK("https://hsdes.intel.com/resource/14013162768","14013162768")</f>
        <v>14013162768</v>
      </c>
      <c r="B619" t="s">
        <v>1613</v>
      </c>
      <c r="C619" t="s">
        <v>1614</v>
      </c>
      <c r="D619" t="s">
        <v>22</v>
      </c>
      <c r="E619" t="s">
        <v>30</v>
      </c>
      <c r="F619" t="s">
        <v>1615</v>
      </c>
    </row>
    <row r="620" spans="1:6" x14ac:dyDescent="0.3">
      <c r="A620" t="str">
        <f>HYPERLINK("https://hsdes.intel.com/resource/14013162773","14013162773")</f>
        <v>14013162773</v>
      </c>
      <c r="B620" t="s">
        <v>1616</v>
      </c>
      <c r="C620" t="s">
        <v>1617</v>
      </c>
      <c r="D620" t="s">
        <v>22</v>
      </c>
      <c r="E620" t="s">
        <v>30</v>
      </c>
      <c r="F620" t="s">
        <v>1615</v>
      </c>
    </row>
    <row r="621" spans="1:6" x14ac:dyDescent="0.3">
      <c r="A621" t="str">
        <f>HYPERLINK("https://hsdes.intel.com/resource/14013162777","14013162777")</f>
        <v>14013162777</v>
      </c>
      <c r="B621" t="s">
        <v>1618</v>
      </c>
      <c r="C621" t="s">
        <v>1619</v>
      </c>
      <c r="D621" t="s">
        <v>22</v>
      </c>
      <c r="E621" t="s">
        <v>30</v>
      </c>
      <c r="F621" t="s">
        <v>1615</v>
      </c>
    </row>
    <row r="622" spans="1:6" x14ac:dyDescent="0.3">
      <c r="A622" t="str">
        <f>HYPERLINK("https://hsdes.intel.com/resource/14013162780","14013162780")</f>
        <v>14013162780</v>
      </c>
      <c r="B622" t="s">
        <v>1620</v>
      </c>
      <c r="C622" t="s">
        <v>1621</v>
      </c>
      <c r="D622" t="s">
        <v>22</v>
      </c>
      <c r="E622" t="s">
        <v>30</v>
      </c>
      <c r="F622" t="s">
        <v>1612</v>
      </c>
    </row>
    <row r="623" spans="1:6" x14ac:dyDescent="0.3">
      <c r="A623" t="str">
        <f>HYPERLINK("https://hsdes.intel.com/resource/14013162786","14013162786")</f>
        <v>14013162786</v>
      </c>
      <c r="B623" t="s">
        <v>1622</v>
      </c>
      <c r="C623" t="s">
        <v>1623</v>
      </c>
      <c r="D623" t="s">
        <v>22</v>
      </c>
      <c r="E623" t="s">
        <v>30</v>
      </c>
      <c r="F623" t="s">
        <v>1615</v>
      </c>
    </row>
    <row r="624" spans="1:6" x14ac:dyDescent="0.3">
      <c r="A624" t="str">
        <f>HYPERLINK("https://hsdes.intel.com/resource/14013162791","14013162791")</f>
        <v>14013162791</v>
      </c>
      <c r="B624" t="s">
        <v>1624</v>
      </c>
      <c r="C624" t="s">
        <v>1625</v>
      </c>
      <c r="D624" t="s">
        <v>22</v>
      </c>
      <c r="E624" t="s">
        <v>30</v>
      </c>
      <c r="F624" t="s">
        <v>1615</v>
      </c>
    </row>
    <row r="625" spans="1:6" x14ac:dyDescent="0.3">
      <c r="A625" t="str">
        <f>HYPERLINK("https://hsdes.intel.com/resource/14013162806","14013162806")</f>
        <v>14013162806</v>
      </c>
      <c r="B625" t="s">
        <v>1626</v>
      </c>
      <c r="C625" t="s">
        <v>1627</v>
      </c>
      <c r="D625" t="s">
        <v>22</v>
      </c>
      <c r="E625" t="s">
        <v>30</v>
      </c>
      <c r="F625" t="s">
        <v>1628</v>
      </c>
    </row>
    <row r="626" spans="1:6" x14ac:dyDescent="0.3">
      <c r="A626" t="str">
        <f>HYPERLINK("https://hsdes.intel.com/resource/14013162831","14013162831")</f>
        <v>14013162831</v>
      </c>
      <c r="B626" t="s">
        <v>1629</v>
      </c>
      <c r="C626" t="s">
        <v>1630</v>
      </c>
      <c r="D626" t="s">
        <v>6</v>
      </c>
      <c r="E626" t="s">
        <v>7</v>
      </c>
      <c r="F626" t="s">
        <v>294</v>
      </c>
    </row>
    <row r="627" spans="1:6" x14ac:dyDescent="0.3">
      <c r="A627" t="str">
        <f>HYPERLINK("https://hsdes.intel.com/resource/14013162835","14013162835")</f>
        <v>14013162835</v>
      </c>
      <c r="B627" t="s">
        <v>1631</v>
      </c>
      <c r="C627" t="s">
        <v>1632</v>
      </c>
      <c r="D627" t="s">
        <v>6</v>
      </c>
      <c r="E627" t="s">
        <v>1633</v>
      </c>
      <c r="F627" t="s">
        <v>1634</v>
      </c>
    </row>
    <row r="628" spans="1:6" x14ac:dyDescent="0.3">
      <c r="A628" t="str">
        <f>HYPERLINK("https://hsdes.intel.com/resource/14013162840","14013162840")</f>
        <v>14013162840</v>
      </c>
      <c r="B628" t="s">
        <v>1635</v>
      </c>
      <c r="C628" t="s">
        <v>1636</v>
      </c>
      <c r="D628" t="s">
        <v>6</v>
      </c>
      <c r="E628" t="s">
        <v>7</v>
      </c>
      <c r="F628" t="s">
        <v>1637</v>
      </c>
    </row>
    <row r="629" spans="1:6" x14ac:dyDescent="0.3">
      <c r="A629" t="str">
        <f>HYPERLINK("https://hsdes.intel.com/resource/14013162849","14013162849")</f>
        <v>14013162849</v>
      </c>
      <c r="B629" t="s">
        <v>1638</v>
      </c>
      <c r="C629" t="s">
        <v>1639</v>
      </c>
      <c r="D629" t="s">
        <v>6</v>
      </c>
      <c r="E629" t="s">
        <v>1640</v>
      </c>
      <c r="F629" t="s">
        <v>1641</v>
      </c>
    </row>
    <row r="630" spans="1:6" x14ac:dyDescent="0.3">
      <c r="A630" t="str">
        <f>HYPERLINK("https://hsdes.intel.com/resource/14013162864","14013162864")</f>
        <v>14013162864</v>
      </c>
      <c r="B630" t="s">
        <v>1642</v>
      </c>
      <c r="C630" t="s">
        <v>1643</v>
      </c>
      <c r="D630" t="s">
        <v>17</v>
      </c>
      <c r="E630" t="s">
        <v>904</v>
      </c>
      <c r="F630" t="s">
        <v>1644</v>
      </c>
    </row>
    <row r="631" spans="1:6" x14ac:dyDescent="0.3">
      <c r="A631" t="str">
        <f>HYPERLINK("https://hsdes.intel.com/resource/14013162897","14013162897")</f>
        <v>14013162897</v>
      </c>
      <c r="B631" t="s">
        <v>1645</v>
      </c>
      <c r="C631" t="s">
        <v>1646</v>
      </c>
      <c r="D631" t="s">
        <v>142</v>
      </c>
      <c r="E631" t="s">
        <v>63</v>
      </c>
      <c r="F631" t="s">
        <v>1647</v>
      </c>
    </row>
    <row r="632" spans="1:6" x14ac:dyDescent="0.3">
      <c r="A632" t="str">
        <f>HYPERLINK("https://hsdes.intel.com/resource/14013162900","14013162900")</f>
        <v>14013162900</v>
      </c>
      <c r="B632" t="s">
        <v>1648</v>
      </c>
      <c r="C632" t="s">
        <v>1649</v>
      </c>
      <c r="D632" t="s">
        <v>6</v>
      </c>
      <c r="E632" t="s">
        <v>7</v>
      </c>
      <c r="F632" t="s">
        <v>1650</v>
      </c>
    </row>
    <row r="633" spans="1:6" x14ac:dyDescent="0.3">
      <c r="A633" t="str">
        <f>HYPERLINK("https://hsdes.intel.com/resource/14013162903","14013162903")</f>
        <v>14013162903</v>
      </c>
      <c r="B633" t="s">
        <v>1651</v>
      </c>
      <c r="C633" t="s">
        <v>1652</v>
      </c>
      <c r="D633" t="s">
        <v>6</v>
      </c>
      <c r="E633" t="s">
        <v>7</v>
      </c>
      <c r="F633" t="s">
        <v>1653</v>
      </c>
    </row>
    <row r="634" spans="1:6" x14ac:dyDescent="0.3">
      <c r="A634" t="str">
        <f>HYPERLINK("https://hsdes.intel.com/resource/14013162907","14013162907")</f>
        <v>14013162907</v>
      </c>
      <c r="B634" t="s">
        <v>1654</v>
      </c>
      <c r="C634" t="s">
        <v>1655</v>
      </c>
      <c r="D634" t="s">
        <v>6</v>
      </c>
      <c r="E634" t="s">
        <v>7</v>
      </c>
      <c r="F634" t="s">
        <v>1653</v>
      </c>
    </row>
    <row r="635" spans="1:6" x14ac:dyDescent="0.3">
      <c r="A635" t="str">
        <f>HYPERLINK("https://hsdes.intel.com/resource/14013162911","14013162911")</f>
        <v>14013162911</v>
      </c>
      <c r="B635" t="s">
        <v>1656</v>
      </c>
      <c r="C635" t="s">
        <v>1657</v>
      </c>
      <c r="D635" t="s">
        <v>6</v>
      </c>
      <c r="E635" t="s">
        <v>7</v>
      </c>
      <c r="F635" t="s">
        <v>1650</v>
      </c>
    </row>
    <row r="636" spans="1:6" x14ac:dyDescent="0.3">
      <c r="A636" t="str">
        <f>HYPERLINK("https://hsdes.intel.com/resource/14013162916","14013162916")</f>
        <v>14013162916</v>
      </c>
      <c r="B636" t="s">
        <v>1658</v>
      </c>
      <c r="C636" t="s">
        <v>1659</v>
      </c>
      <c r="D636" t="s">
        <v>6</v>
      </c>
      <c r="E636" t="s">
        <v>7</v>
      </c>
      <c r="F636" t="s">
        <v>1653</v>
      </c>
    </row>
    <row r="637" spans="1:6" x14ac:dyDescent="0.3">
      <c r="A637" t="str">
        <f>HYPERLINK("https://hsdes.intel.com/resource/14013162920","14013162920")</f>
        <v>14013162920</v>
      </c>
      <c r="B637" t="s">
        <v>1660</v>
      </c>
      <c r="C637" t="s">
        <v>1661</v>
      </c>
      <c r="D637" t="s">
        <v>6</v>
      </c>
      <c r="E637" t="s">
        <v>7</v>
      </c>
      <c r="F637" t="s">
        <v>1653</v>
      </c>
    </row>
    <row r="638" spans="1:6" x14ac:dyDescent="0.3">
      <c r="A638" t="str">
        <f>HYPERLINK("https://hsdes.intel.com/resource/14013162925","14013162925")</f>
        <v>14013162925</v>
      </c>
      <c r="B638" t="s">
        <v>1662</v>
      </c>
      <c r="C638" t="s">
        <v>1663</v>
      </c>
      <c r="D638" t="s">
        <v>6</v>
      </c>
      <c r="E638" t="s">
        <v>7</v>
      </c>
      <c r="F638" t="s">
        <v>1650</v>
      </c>
    </row>
    <row r="639" spans="1:6" x14ac:dyDescent="0.3">
      <c r="A639" t="str">
        <f>HYPERLINK("https://hsdes.intel.com/resource/14013162937","14013162937")</f>
        <v>14013162937</v>
      </c>
      <c r="B639" t="s">
        <v>1664</v>
      </c>
      <c r="C639" t="s">
        <v>1665</v>
      </c>
      <c r="D639" t="s">
        <v>6</v>
      </c>
      <c r="E639" t="s">
        <v>7</v>
      </c>
      <c r="F639" t="s">
        <v>1653</v>
      </c>
    </row>
    <row r="640" spans="1:6" x14ac:dyDescent="0.3">
      <c r="A640" t="str">
        <f>HYPERLINK("https://hsdes.intel.com/resource/14013162948","14013162948")</f>
        <v>14013162948</v>
      </c>
      <c r="B640" t="s">
        <v>1666</v>
      </c>
      <c r="C640" t="s">
        <v>1667</v>
      </c>
      <c r="D640" t="s">
        <v>6</v>
      </c>
      <c r="E640" t="s">
        <v>7</v>
      </c>
      <c r="F640" t="s">
        <v>1653</v>
      </c>
    </row>
    <row r="641" spans="1:6" x14ac:dyDescent="0.3">
      <c r="A641" t="str">
        <f>HYPERLINK("https://hsdes.intel.com/resource/14013162960","14013162960")</f>
        <v>14013162960</v>
      </c>
      <c r="B641" t="s">
        <v>1668</v>
      </c>
      <c r="C641" t="s">
        <v>1669</v>
      </c>
      <c r="D641" t="s">
        <v>6</v>
      </c>
      <c r="E641" t="s">
        <v>7</v>
      </c>
      <c r="F641" t="s">
        <v>1650</v>
      </c>
    </row>
    <row r="642" spans="1:6" x14ac:dyDescent="0.3">
      <c r="A642" t="str">
        <f>HYPERLINK("https://hsdes.intel.com/resource/14013162967","14013162967")</f>
        <v>14013162967</v>
      </c>
      <c r="B642" t="s">
        <v>1670</v>
      </c>
      <c r="C642" t="s">
        <v>1671</v>
      </c>
      <c r="D642" t="s">
        <v>6</v>
      </c>
      <c r="E642" t="s">
        <v>7</v>
      </c>
      <c r="F642" t="s">
        <v>1653</v>
      </c>
    </row>
    <row r="643" spans="1:6" x14ac:dyDescent="0.3">
      <c r="A643" t="str">
        <f>HYPERLINK("https://hsdes.intel.com/resource/14013162974","14013162974")</f>
        <v>14013162974</v>
      </c>
      <c r="B643" t="s">
        <v>1672</v>
      </c>
      <c r="C643" t="s">
        <v>1673</v>
      </c>
      <c r="D643" t="s">
        <v>6</v>
      </c>
      <c r="E643" t="s">
        <v>7</v>
      </c>
      <c r="F643" t="s">
        <v>1653</v>
      </c>
    </row>
    <row r="644" spans="1:6" x14ac:dyDescent="0.3">
      <c r="A644" t="str">
        <f>HYPERLINK("https://hsdes.intel.com/resource/14013163001","14013163001")</f>
        <v>14013163001</v>
      </c>
      <c r="B644" t="s">
        <v>1674</v>
      </c>
      <c r="C644" t="s">
        <v>1675</v>
      </c>
      <c r="D644" t="s">
        <v>62</v>
      </c>
      <c r="E644" t="s">
        <v>30</v>
      </c>
      <c r="F644" t="s">
        <v>585</v>
      </c>
    </row>
    <row r="645" spans="1:6" x14ac:dyDescent="0.3">
      <c r="A645" t="str">
        <f>HYPERLINK("https://hsdes.intel.com/resource/14013163003","14013163003")</f>
        <v>14013163003</v>
      </c>
      <c r="B645" t="s">
        <v>1676</v>
      </c>
      <c r="C645" t="s">
        <v>1677</v>
      </c>
      <c r="D645" t="s">
        <v>17</v>
      </c>
      <c r="E645" t="s">
        <v>30</v>
      </c>
      <c r="F645" t="s">
        <v>1678</v>
      </c>
    </row>
    <row r="646" spans="1:6" x14ac:dyDescent="0.3">
      <c r="A646" t="str">
        <f>HYPERLINK("https://hsdes.intel.com/resource/14013163059","14013163059")</f>
        <v>14013163059</v>
      </c>
      <c r="B646" t="s">
        <v>1679</v>
      </c>
      <c r="C646" t="s">
        <v>1680</v>
      </c>
      <c r="D646" t="s">
        <v>22</v>
      </c>
      <c r="E646" t="s">
        <v>63</v>
      </c>
      <c r="F646" t="s">
        <v>1681</v>
      </c>
    </row>
    <row r="647" spans="1:6" x14ac:dyDescent="0.3">
      <c r="A647" t="str">
        <f>HYPERLINK("https://hsdes.intel.com/resource/14013163089","14013163089")</f>
        <v>14013163089</v>
      </c>
      <c r="B647" t="s">
        <v>1682</v>
      </c>
      <c r="C647" t="s">
        <v>1683</v>
      </c>
      <c r="D647" t="s">
        <v>17</v>
      </c>
      <c r="E647" t="s">
        <v>30</v>
      </c>
      <c r="F647" t="s">
        <v>1388</v>
      </c>
    </row>
    <row r="648" spans="1:6" x14ac:dyDescent="0.3">
      <c r="A648" t="str">
        <f>HYPERLINK("https://hsdes.intel.com/resource/14013163095","14013163095")</f>
        <v>14013163095</v>
      </c>
      <c r="B648" t="s">
        <v>1684</v>
      </c>
      <c r="C648" t="s">
        <v>1685</v>
      </c>
      <c r="D648" t="s">
        <v>29</v>
      </c>
      <c r="E648" t="s">
        <v>232</v>
      </c>
      <c r="F648" t="s">
        <v>1686</v>
      </c>
    </row>
    <row r="649" spans="1:6" x14ac:dyDescent="0.3">
      <c r="A649" t="str">
        <f>HYPERLINK("https://hsdes.intel.com/resource/14013163097","14013163097")</f>
        <v>14013163097</v>
      </c>
      <c r="B649" t="s">
        <v>1687</v>
      </c>
      <c r="C649" t="s">
        <v>1688</v>
      </c>
      <c r="D649" t="s">
        <v>29</v>
      </c>
      <c r="E649" t="s">
        <v>232</v>
      </c>
      <c r="F649" t="s">
        <v>1552</v>
      </c>
    </row>
    <row r="650" spans="1:6" x14ac:dyDescent="0.3">
      <c r="A650" t="str">
        <f>HYPERLINK("https://hsdes.intel.com/resource/14013163114","14013163114")</f>
        <v>14013163114</v>
      </c>
      <c r="B650" t="s">
        <v>1689</v>
      </c>
      <c r="C650" t="s">
        <v>1690</v>
      </c>
      <c r="D650" t="s">
        <v>6</v>
      </c>
      <c r="E650" t="s">
        <v>1691</v>
      </c>
      <c r="F650" t="s">
        <v>1167</v>
      </c>
    </row>
    <row r="651" spans="1:6" x14ac:dyDescent="0.3">
      <c r="A651" t="str">
        <f>HYPERLINK("https://hsdes.intel.com/resource/14013163118","14013163118")</f>
        <v>14013163118</v>
      </c>
      <c r="B651" t="s">
        <v>1692</v>
      </c>
      <c r="C651" t="s">
        <v>1693</v>
      </c>
      <c r="D651" t="s">
        <v>6</v>
      </c>
      <c r="E651" t="s">
        <v>7</v>
      </c>
      <c r="F651" t="s">
        <v>610</v>
      </c>
    </row>
    <row r="652" spans="1:6" x14ac:dyDescent="0.3">
      <c r="A652" t="str">
        <f>HYPERLINK("https://hsdes.intel.com/resource/14013163171","14013163171")</f>
        <v>14013163171</v>
      </c>
      <c r="B652" t="s">
        <v>1694</v>
      </c>
      <c r="C652" t="s">
        <v>1695</v>
      </c>
      <c r="D652" t="s">
        <v>17</v>
      </c>
      <c r="E652" t="s">
        <v>1696</v>
      </c>
      <c r="F652" t="s">
        <v>1697</v>
      </c>
    </row>
    <row r="653" spans="1:6" x14ac:dyDescent="0.3">
      <c r="A653" t="str">
        <f>HYPERLINK("https://hsdes.intel.com/resource/14013163195","14013163195")</f>
        <v>14013163195</v>
      </c>
      <c r="B653" t="s">
        <v>1698</v>
      </c>
      <c r="C653" t="s">
        <v>1699</v>
      </c>
      <c r="D653" t="s">
        <v>6</v>
      </c>
      <c r="E653" t="s">
        <v>1700</v>
      </c>
      <c r="F653" t="s">
        <v>1701</v>
      </c>
    </row>
    <row r="654" spans="1:6" x14ac:dyDescent="0.3">
      <c r="A654" t="str">
        <f>HYPERLINK("https://hsdes.intel.com/resource/14013163205","14013163205")</f>
        <v>14013163205</v>
      </c>
      <c r="B654" t="s">
        <v>1702</v>
      </c>
      <c r="C654" t="s">
        <v>1703</v>
      </c>
      <c r="D654" t="s">
        <v>17</v>
      </c>
      <c r="E654" t="s">
        <v>1704</v>
      </c>
      <c r="F654" t="s">
        <v>1705</v>
      </c>
    </row>
    <row r="655" spans="1:6" x14ac:dyDescent="0.3">
      <c r="A655" t="str">
        <f>HYPERLINK("https://hsdes.intel.com/resource/14013163208","14013163208")</f>
        <v>14013163208</v>
      </c>
      <c r="B655" t="s">
        <v>1706</v>
      </c>
      <c r="C655" t="s">
        <v>1707</v>
      </c>
      <c r="D655" t="s">
        <v>17</v>
      </c>
      <c r="E655" t="s">
        <v>30</v>
      </c>
      <c r="F655" t="s">
        <v>1708</v>
      </c>
    </row>
    <row r="656" spans="1:6" x14ac:dyDescent="0.3">
      <c r="A656" t="str">
        <f>HYPERLINK("https://hsdes.intel.com/resource/14013163220","14013163220")</f>
        <v>14013163220</v>
      </c>
      <c r="B656" t="s">
        <v>1709</v>
      </c>
      <c r="C656" t="s">
        <v>1710</v>
      </c>
      <c r="D656" t="s">
        <v>98</v>
      </c>
      <c r="E656" t="s">
        <v>30</v>
      </c>
      <c r="F656" t="s">
        <v>1419</v>
      </c>
    </row>
    <row r="657" spans="1:6" x14ac:dyDescent="0.3">
      <c r="A657" t="str">
        <f>HYPERLINK("https://hsdes.intel.com/resource/14013163239","14013163239")</f>
        <v>14013163239</v>
      </c>
      <c r="B657" t="s">
        <v>1711</v>
      </c>
      <c r="C657" t="s">
        <v>1712</v>
      </c>
      <c r="D657" t="s">
        <v>6</v>
      </c>
      <c r="E657" t="s">
        <v>7</v>
      </c>
      <c r="F657" t="s">
        <v>1419</v>
      </c>
    </row>
    <row r="658" spans="1:6" x14ac:dyDescent="0.3">
      <c r="A658" t="str">
        <f>HYPERLINK("https://hsdes.intel.com/resource/14013163245","14013163245")</f>
        <v>14013163245</v>
      </c>
      <c r="B658" t="s">
        <v>1713</v>
      </c>
      <c r="C658" t="s">
        <v>1714</v>
      </c>
      <c r="D658" t="s">
        <v>6</v>
      </c>
      <c r="E658" t="s">
        <v>7</v>
      </c>
      <c r="F658" t="s">
        <v>1419</v>
      </c>
    </row>
    <row r="659" spans="1:6" x14ac:dyDescent="0.3">
      <c r="A659" t="str">
        <f>HYPERLINK("https://hsdes.intel.com/resource/14013163258","14013163258")</f>
        <v>14013163258</v>
      </c>
      <c r="B659" t="s">
        <v>1715</v>
      </c>
      <c r="C659" t="s">
        <v>1716</v>
      </c>
      <c r="D659" t="s">
        <v>6</v>
      </c>
      <c r="E659" t="s">
        <v>7</v>
      </c>
      <c r="F659" t="s">
        <v>1419</v>
      </c>
    </row>
    <row r="660" spans="1:6" x14ac:dyDescent="0.3">
      <c r="A660" t="str">
        <f>HYPERLINK("https://hsdes.intel.com/resource/14013163267","14013163267")</f>
        <v>14013163267</v>
      </c>
      <c r="B660" t="s">
        <v>1717</v>
      </c>
      <c r="C660" t="s">
        <v>1718</v>
      </c>
      <c r="D660" t="s">
        <v>6</v>
      </c>
      <c r="E660" t="s">
        <v>7</v>
      </c>
      <c r="F660" t="s">
        <v>1419</v>
      </c>
    </row>
    <row r="661" spans="1:6" x14ac:dyDescent="0.3">
      <c r="A661" t="str">
        <f>HYPERLINK("https://hsdes.intel.com/resource/14013163275","14013163275")</f>
        <v>14013163275</v>
      </c>
      <c r="B661" t="s">
        <v>1719</v>
      </c>
      <c r="C661" t="s">
        <v>1720</v>
      </c>
      <c r="D661" t="s">
        <v>6</v>
      </c>
      <c r="E661" t="s">
        <v>7</v>
      </c>
      <c r="F661" t="s">
        <v>1419</v>
      </c>
    </row>
    <row r="662" spans="1:6" x14ac:dyDescent="0.3">
      <c r="A662" t="str">
        <f>HYPERLINK("https://hsdes.intel.com/resource/14013163296","14013163296")</f>
        <v>14013163296</v>
      </c>
      <c r="B662" t="s">
        <v>1721</v>
      </c>
      <c r="C662" t="s">
        <v>1722</v>
      </c>
      <c r="D662" t="s">
        <v>6</v>
      </c>
      <c r="E662" t="s">
        <v>1723</v>
      </c>
      <c r="F662" t="s">
        <v>1641</v>
      </c>
    </row>
    <row r="663" spans="1:6" x14ac:dyDescent="0.3">
      <c r="A663" t="str">
        <f>HYPERLINK("https://hsdes.intel.com/resource/14013163306","14013163306")</f>
        <v>14013163306</v>
      </c>
      <c r="B663" t="s">
        <v>1724</v>
      </c>
      <c r="C663" t="s">
        <v>1725</v>
      </c>
      <c r="D663" t="s">
        <v>6</v>
      </c>
      <c r="E663" t="s">
        <v>1640</v>
      </c>
      <c r="F663" t="s">
        <v>1726</v>
      </c>
    </row>
    <row r="664" spans="1:6" x14ac:dyDescent="0.3">
      <c r="A664" t="str">
        <f>HYPERLINK("https://hsdes.intel.com/resource/14013163319","14013163319")</f>
        <v>14013163319</v>
      </c>
      <c r="B664" t="s">
        <v>1727</v>
      </c>
      <c r="C664" t="s">
        <v>1728</v>
      </c>
      <c r="D664" t="s">
        <v>6</v>
      </c>
      <c r="E664" t="s">
        <v>1723</v>
      </c>
      <c r="F664" t="s">
        <v>1729</v>
      </c>
    </row>
    <row r="665" spans="1:6" x14ac:dyDescent="0.3">
      <c r="A665" t="str">
        <f>HYPERLINK("https://hsdes.intel.com/resource/14013163326","14013163326")</f>
        <v>14013163326</v>
      </c>
      <c r="B665" t="s">
        <v>1730</v>
      </c>
      <c r="C665" t="s">
        <v>1731</v>
      </c>
      <c r="D665" t="s">
        <v>6</v>
      </c>
      <c r="E665" t="s">
        <v>7</v>
      </c>
      <c r="F665" t="s">
        <v>1419</v>
      </c>
    </row>
    <row r="666" spans="1:6" x14ac:dyDescent="0.3">
      <c r="A666" t="str">
        <f>HYPERLINK("https://hsdes.intel.com/resource/14013163353","14013163353")</f>
        <v>14013163353</v>
      </c>
      <c r="B666" t="s">
        <v>1732</v>
      </c>
      <c r="C666" t="s">
        <v>1733</v>
      </c>
      <c r="D666" t="s">
        <v>6</v>
      </c>
      <c r="E666" t="s">
        <v>1734</v>
      </c>
      <c r="F666" t="s">
        <v>1735</v>
      </c>
    </row>
    <row r="667" spans="1:6" x14ac:dyDescent="0.3">
      <c r="A667" t="str">
        <f>HYPERLINK("https://hsdes.intel.com/resource/14013163363","14013163363")</f>
        <v>14013163363</v>
      </c>
      <c r="B667" t="s">
        <v>1736</v>
      </c>
      <c r="C667" t="s">
        <v>1737</v>
      </c>
      <c r="D667" t="s">
        <v>6</v>
      </c>
      <c r="E667" t="s">
        <v>7</v>
      </c>
      <c r="F667" t="s">
        <v>1419</v>
      </c>
    </row>
    <row r="668" spans="1:6" x14ac:dyDescent="0.3">
      <c r="A668" t="str">
        <f>HYPERLINK("https://hsdes.intel.com/resource/14013163375","14013163375")</f>
        <v>14013163375</v>
      </c>
      <c r="B668" t="s">
        <v>1738</v>
      </c>
      <c r="C668" t="s">
        <v>1739</v>
      </c>
      <c r="D668" t="s">
        <v>6</v>
      </c>
      <c r="E668" t="s">
        <v>7</v>
      </c>
      <c r="F668" t="s">
        <v>1740</v>
      </c>
    </row>
    <row r="669" spans="1:6" x14ac:dyDescent="0.3">
      <c r="A669" t="str">
        <f>HYPERLINK("https://hsdes.intel.com/resource/14013163383","14013163383")</f>
        <v>14013163383</v>
      </c>
      <c r="B669" t="s">
        <v>1741</v>
      </c>
      <c r="C669" t="s">
        <v>1742</v>
      </c>
      <c r="D669" t="s">
        <v>6</v>
      </c>
      <c r="E669" t="s">
        <v>7</v>
      </c>
      <c r="F669" t="s">
        <v>1419</v>
      </c>
    </row>
    <row r="670" spans="1:6" x14ac:dyDescent="0.3">
      <c r="A670" t="str">
        <f>HYPERLINK("https://hsdes.intel.com/resource/14013163398","14013163398")</f>
        <v>14013163398</v>
      </c>
      <c r="B670" t="s">
        <v>1743</v>
      </c>
      <c r="C670" t="s">
        <v>1744</v>
      </c>
      <c r="D670" t="s">
        <v>6</v>
      </c>
      <c r="E670" t="s">
        <v>1734</v>
      </c>
      <c r="F670" t="s">
        <v>1735</v>
      </c>
    </row>
    <row r="671" spans="1:6" x14ac:dyDescent="0.3">
      <c r="A671" t="str">
        <f>HYPERLINK("https://hsdes.intel.com/resource/14013163408","14013163408")</f>
        <v>14013163408</v>
      </c>
      <c r="B671" t="s">
        <v>1745</v>
      </c>
      <c r="C671" t="s">
        <v>1746</v>
      </c>
      <c r="D671" t="s">
        <v>6</v>
      </c>
      <c r="E671" t="s">
        <v>7</v>
      </c>
      <c r="F671" t="s">
        <v>1419</v>
      </c>
    </row>
    <row r="672" spans="1:6" x14ac:dyDescent="0.3">
      <c r="A672" t="str">
        <f>HYPERLINK("https://hsdes.intel.com/resource/14013163421","14013163421")</f>
        <v>14013163421</v>
      </c>
      <c r="B672" t="s">
        <v>1747</v>
      </c>
      <c r="C672" t="s">
        <v>1748</v>
      </c>
      <c r="D672" t="s">
        <v>6</v>
      </c>
      <c r="E672" t="s">
        <v>7</v>
      </c>
      <c r="F672" t="s">
        <v>1419</v>
      </c>
    </row>
    <row r="673" spans="1:6" x14ac:dyDescent="0.3">
      <c r="A673" t="str">
        <f>HYPERLINK("https://hsdes.intel.com/resource/14013163423","14013163423")</f>
        <v>14013163423</v>
      </c>
      <c r="B673" t="s">
        <v>1749</v>
      </c>
      <c r="C673" t="s">
        <v>1750</v>
      </c>
      <c r="D673" t="s">
        <v>6</v>
      </c>
      <c r="E673" t="s">
        <v>7</v>
      </c>
      <c r="F673" t="s">
        <v>1419</v>
      </c>
    </row>
    <row r="674" spans="1:6" x14ac:dyDescent="0.3">
      <c r="A674" t="str">
        <f>HYPERLINK("https://hsdes.intel.com/resource/14013163440","14013163440")</f>
        <v>14013163440</v>
      </c>
      <c r="B674" t="s">
        <v>1751</v>
      </c>
      <c r="C674" t="s">
        <v>1752</v>
      </c>
      <c r="D674" t="s">
        <v>6</v>
      </c>
      <c r="E674" t="s">
        <v>1734</v>
      </c>
      <c r="F674" t="s">
        <v>1735</v>
      </c>
    </row>
    <row r="675" spans="1:6" x14ac:dyDescent="0.3">
      <c r="A675" t="str">
        <f>HYPERLINK("https://hsdes.intel.com/resource/14013163456","14013163456")</f>
        <v>14013163456</v>
      </c>
      <c r="B675" t="s">
        <v>1753</v>
      </c>
      <c r="C675" t="s">
        <v>1754</v>
      </c>
      <c r="D675" t="s">
        <v>6</v>
      </c>
      <c r="E675" t="s">
        <v>7</v>
      </c>
      <c r="F675" t="s">
        <v>1419</v>
      </c>
    </row>
    <row r="676" spans="1:6" x14ac:dyDescent="0.3">
      <c r="A676" t="str">
        <f>HYPERLINK("https://hsdes.intel.com/resource/14013163459","14013163459")</f>
        <v>14013163459</v>
      </c>
      <c r="B676" t="s">
        <v>1755</v>
      </c>
      <c r="C676" t="s">
        <v>1756</v>
      </c>
      <c r="D676" t="s">
        <v>6</v>
      </c>
      <c r="E676" t="s">
        <v>7</v>
      </c>
      <c r="F676" t="s">
        <v>610</v>
      </c>
    </row>
    <row r="677" spans="1:6" x14ac:dyDescent="0.3">
      <c r="A677" t="str">
        <f>HYPERLINK("https://hsdes.intel.com/resource/14013163478","14013163478")</f>
        <v>14013163478</v>
      </c>
      <c r="B677" t="s">
        <v>1757</v>
      </c>
      <c r="C677" t="s">
        <v>1758</v>
      </c>
      <c r="D677" t="s">
        <v>17</v>
      </c>
      <c r="E677" t="s">
        <v>30</v>
      </c>
      <c r="F677" t="s">
        <v>1759</v>
      </c>
    </row>
    <row r="678" spans="1:6" x14ac:dyDescent="0.3">
      <c r="A678" t="str">
        <f>HYPERLINK("https://hsdes.intel.com/resource/14013163653","14013163653")</f>
        <v>14013163653</v>
      </c>
      <c r="B678" t="s">
        <v>1760</v>
      </c>
      <c r="C678" t="s">
        <v>1761</v>
      </c>
      <c r="D678" t="s">
        <v>6</v>
      </c>
      <c r="E678" t="s">
        <v>7</v>
      </c>
      <c r="F678" t="s">
        <v>1419</v>
      </c>
    </row>
    <row r="679" spans="1:6" x14ac:dyDescent="0.3">
      <c r="A679" t="str">
        <f>HYPERLINK("https://hsdes.intel.com/resource/14013163665","14013163665")</f>
        <v>14013163665</v>
      </c>
      <c r="B679" t="s">
        <v>1762</v>
      </c>
      <c r="C679" t="s">
        <v>1763</v>
      </c>
      <c r="D679" t="s">
        <v>6</v>
      </c>
      <c r="E679" t="s">
        <v>7</v>
      </c>
      <c r="F679" t="s">
        <v>1419</v>
      </c>
    </row>
    <row r="680" spans="1:6" x14ac:dyDescent="0.3">
      <c r="A680" t="str">
        <f>HYPERLINK("https://hsdes.intel.com/resource/14013163784","14013163784")</f>
        <v>14013163784</v>
      </c>
      <c r="B680" t="s">
        <v>1764</v>
      </c>
      <c r="C680" t="s">
        <v>1765</v>
      </c>
      <c r="D680" t="s">
        <v>22</v>
      </c>
      <c r="E680" t="s">
        <v>30</v>
      </c>
      <c r="F680" t="s">
        <v>1766</v>
      </c>
    </row>
    <row r="681" spans="1:6" x14ac:dyDescent="0.3">
      <c r="A681" t="str">
        <f>HYPERLINK("https://hsdes.intel.com/resource/14013163811","14013163811")</f>
        <v>14013163811</v>
      </c>
      <c r="B681" t="s">
        <v>1767</v>
      </c>
      <c r="C681" t="s">
        <v>1768</v>
      </c>
      <c r="D681" t="s">
        <v>142</v>
      </c>
      <c r="E681" t="s">
        <v>63</v>
      </c>
      <c r="F681" t="s">
        <v>1769</v>
      </c>
    </row>
    <row r="682" spans="1:6" x14ac:dyDescent="0.3">
      <c r="A682" t="str">
        <f>HYPERLINK("https://hsdes.intel.com/resource/14013163914","14013163914")</f>
        <v>14013163914</v>
      </c>
      <c r="B682" t="s">
        <v>1770</v>
      </c>
      <c r="C682" t="s">
        <v>1771</v>
      </c>
      <c r="D682" t="s">
        <v>29</v>
      </c>
      <c r="E682" t="s">
        <v>30</v>
      </c>
      <c r="F682" t="s">
        <v>610</v>
      </c>
    </row>
    <row r="683" spans="1:6" x14ac:dyDescent="0.3">
      <c r="A683" t="str">
        <f>HYPERLINK("https://hsdes.intel.com/resource/14013163924","14013163924")</f>
        <v>14013163924</v>
      </c>
      <c r="B683" t="s">
        <v>1772</v>
      </c>
      <c r="C683" t="s">
        <v>1773</v>
      </c>
      <c r="D683" t="s">
        <v>6</v>
      </c>
      <c r="E683" t="s">
        <v>7</v>
      </c>
      <c r="F683" t="s">
        <v>239</v>
      </c>
    </row>
    <row r="684" spans="1:6" x14ac:dyDescent="0.3">
      <c r="A684" t="str">
        <f>HYPERLINK("https://hsdes.intel.com/resource/14013163959","14013163959")</f>
        <v>14013163959</v>
      </c>
      <c r="B684" t="s">
        <v>1774</v>
      </c>
      <c r="C684" t="s">
        <v>1775</v>
      </c>
      <c r="D684" t="s">
        <v>6</v>
      </c>
      <c r="E684" t="s">
        <v>7</v>
      </c>
      <c r="F684" t="s">
        <v>1776</v>
      </c>
    </row>
    <row r="685" spans="1:6" x14ac:dyDescent="0.3">
      <c r="A685" t="str">
        <f>HYPERLINK("https://hsdes.intel.com/resource/14013163970","14013163970")</f>
        <v>14013163970</v>
      </c>
      <c r="B685" t="s">
        <v>1777</v>
      </c>
      <c r="C685" t="s">
        <v>1778</v>
      </c>
      <c r="D685" t="s">
        <v>6</v>
      </c>
      <c r="E685" t="s">
        <v>30</v>
      </c>
      <c r="F685" t="s">
        <v>8</v>
      </c>
    </row>
    <row r="686" spans="1:6" x14ac:dyDescent="0.3">
      <c r="A686" t="str">
        <f>HYPERLINK("https://hsdes.intel.com/resource/14013164066","14013164066")</f>
        <v>14013164066</v>
      </c>
      <c r="B686" t="s">
        <v>1779</v>
      </c>
      <c r="C686" t="s">
        <v>1780</v>
      </c>
      <c r="D686" t="s">
        <v>142</v>
      </c>
      <c r="E686" t="s">
        <v>63</v>
      </c>
      <c r="F686" t="s">
        <v>1781</v>
      </c>
    </row>
    <row r="687" spans="1:6" x14ac:dyDescent="0.3">
      <c r="A687" t="str">
        <f>HYPERLINK("https://hsdes.intel.com/resource/14013164076","14013164076")</f>
        <v>14013164076</v>
      </c>
      <c r="B687" t="s">
        <v>1782</v>
      </c>
      <c r="C687" t="s">
        <v>1783</v>
      </c>
      <c r="D687" t="s">
        <v>142</v>
      </c>
      <c r="E687" t="s">
        <v>63</v>
      </c>
      <c r="F687" t="s">
        <v>1784</v>
      </c>
    </row>
    <row r="688" spans="1:6" x14ac:dyDescent="0.3">
      <c r="A688" t="str">
        <f>HYPERLINK("https://hsdes.intel.com/resource/14013164099","14013164099")</f>
        <v>14013164099</v>
      </c>
      <c r="B688" t="s">
        <v>1785</v>
      </c>
      <c r="C688" t="s">
        <v>1786</v>
      </c>
      <c r="D688" t="s">
        <v>17</v>
      </c>
      <c r="E688" t="s">
        <v>18</v>
      </c>
      <c r="F688" t="s">
        <v>594</v>
      </c>
    </row>
    <row r="689" spans="1:6" x14ac:dyDescent="0.3">
      <c r="A689" t="str">
        <f>HYPERLINK("https://hsdes.intel.com/resource/14013164103","14013164103")</f>
        <v>14013164103</v>
      </c>
      <c r="B689" t="s">
        <v>1787</v>
      </c>
      <c r="C689" t="s">
        <v>1788</v>
      </c>
      <c r="D689" t="s">
        <v>142</v>
      </c>
      <c r="E689" t="s">
        <v>63</v>
      </c>
      <c r="F689" t="s">
        <v>1338</v>
      </c>
    </row>
    <row r="690" spans="1:6" x14ac:dyDescent="0.3">
      <c r="A690" t="str">
        <f>HYPERLINK("https://hsdes.intel.com/resource/14013164147","14013164147")</f>
        <v>14013164147</v>
      </c>
      <c r="B690" t="s">
        <v>1789</v>
      </c>
      <c r="C690" t="s">
        <v>1790</v>
      </c>
      <c r="D690" t="s">
        <v>29</v>
      </c>
      <c r="E690" t="s">
        <v>232</v>
      </c>
      <c r="F690" t="s">
        <v>1791</v>
      </c>
    </row>
    <row r="691" spans="1:6" x14ac:dyDescent="0.3">
      <c r="A691" t="str">
        <f>HYPERLINK("https://hsdes.intel.com/resource/14013164150","14013164150")</f>
        <v>14013164150</v>
      </c>
      <c r="B691" t="s">
        <v>1792</v>
      </c>
      <c r="C691" t="s">
        <v>1793</v>
      </c>
      <c r="D691" t="s">
        <v>17</v>
      </c>
      <c r="E691" t="s">
        <v>30</v>
      </c>
      <c r="F691" t="s">
        <v>1794</v>
      </c>
    </row>
    <row r="692" spans="1:6" x14ac:dyDescent="0.3">
      <c r="A692" t="str">
        <f>HYPERLINK("https://hsdes.intel.com/resource/14013164188","14013164188")</f>
        <v>14013164188</v>
      </c>
      <c r="B692" t="s">
        <v>1795</v>
      </c>
      <c r="C692" t="s">
        <v>1796</v>
      </c>
      <c r="D692" t="s">
        <v>6</v>
      </c>
      <c r="E692" t="s">
        <v>30</v>
      </c>
      <c r="F692" t="s">
        <v>59</v>
      </c>
    </row>
    <row r="693" spans="1:6" x14ac:dyDescent="0.3">
      <c r="A693" t="str">
        <f>HYPERLINK("https://hsdes.intel.com/resource/14013164275","14013164275")</f>
        <v>14013164275</v>
      </c>
      <c r="B693" t="s">
        <v>1797</v>
      </c>
      <c r="C693" t="s">
        <v>1798</v>
      </c>
      <c r="D693" t="s">
        <v>142</v>
      </c>
      <c r="E693" t="s">
        <v>63</v>
      </c>
      <c r="F693" t="s">
        <v>506</v>
      </c>
    </row>
    <row r="694" spans="1:6" x14ac:dyDescent="0.3">
      <c r="A694" t="str">
        <f>HYPERLINK("https://hsdes.intel.com/resource/14013164376","14013164376")</f>
        <v>14013164376</v>
      </c>
      <c r="B694" t="s">
        <v>1799</v>
      </c>
      <c r="C694" t="s">
        <v>1800</v>
      </c>
      <c r="D694" t="s">
        <v>6</v>
      </c>
      <c r="E694" t="s">
        <v>7</v>
      </c>
      <c r="F694" t="s">
        <v>1801</v>
      </c>
    </row>
    <row r="695" spans="1:6" x14ac:dyDescent="0.3">
      <c r="A695" t="str">
        <f>HYPERLINK("https://hsdes.intel.com/resource/14013164390","14013164390")</f>
        <v>14013164390</v>
      </c>
      <c r="B695" t="s">
        <v>1802</v>
      </c>
      <c r="C695" t="s">
        <v>1803</v>
      </c>
      <c r="D695" t="s">
        <v>142</v>
      </c>
      <c r="E695" t="s">
        <v>63</v>
      </c>
      <c r="F695" t="s">
        <v>1804</v>
      </c>
    </row>
    <row r="696" spans="1:6" x14ac:dyDescent="0.3">
      <c r="A696" t="str">
        <f>HYPERLINK("https://hsdes.intel.com/resource/14013164455","14013164455")</f>
        <v>14013164455</v>
      </c>
      <c r="B696" t="s">
        <v>1805</v>
      </c>
      <c r="C696" t="s">
        <v>1806</v>
      </c>
      <c r="D696" t="s">
        <v>29</v>
      </c>
      <c r="E696" t="s">
        <v>232</v>
      </c>
      <c r="F696" t="s">
        <v>1807</v>
      </c>
    </row>
    <row r="697" spans="1:6" x14ac:dyDescent="0.3">
      <c r="A697" t="str">
        <f>HYPERLINK("https://hsdes.intel.com/resource/14013164644","14013164644")</f>
        <v>14013164644</v>
      </c>
      <c r="B697" t="s">
        <v>1808</v>
      </c>
      <c r="C697" t="s">
        <v>1809</v>
      </c>
      <c r="D697" t="s">
        <v>29</v>
      </c>
      <c r="E697" t="s">
        <v>232</v>
      </c>
      <c r="F697" t="s">
        <v>1807</v>
      </c>
    </row>
    <row r="698" spans="1:6" x14ac:dyDescent="0.3">
      <c r="A698" t="str">
        <f>HYPERLINK("https://hsdes.intel.com/resource/14013164649","14013164649")</f>
        <v>14013164649</v>
      </c>
      <c r="B698" t="s">
        <v>1810</v>
      </c>
      <c r="C698" t="s">
        <v>1811</v>
      </c>
      <c r="D698" t="s">
        <v>29</v>
      </c>
      <c r="E698" t="s">
        <v>232</v>
      </c>
      <c r="F698" t="s">
        <v>1807</v>
      </c>
    </row>
    <row r="699" spans="1:6" x14ac:dyDescent="0.3">
      <c r="A699" t="str">
        <f>HYPERLINK("https://hsdes.intel.com/resource/14013164656","14013164656")</f>
        <v>14013164656</v>
      </c>
      <c r="B699" t="s">
        <v>1812</v>
      </c>
      <c r="C699" t="s">
        <v>1813</v>
      </c>
      <c r="D699" t="s">
        <v>29</v>
      </c>
      <c r="E699" t="s">
        <v>232</v>
      </c>
      <c r="F699" t="s">
        <v>1807</v>
      </c>
    </row>
    <row r="700" spans="1:6" x14ac:dyDescent="0.3">
      <c r="A700" t="str">
        <f>HYPERLINK("https://hsdes.intel.com/resource/14013164661","14013164661")</f>
        <v>14013164661</v>
      </c>
      <c r="B700" t="s">
        <v>1814</v>
      </c>
      <c r="C700" t="s">
        <v>1815</v>
      </c>
      <c r="D700" t="s">
        <v>29</v>
      </c>
      <c r="E700" t="s">
        <v>232</v>
      </c>
      <c r="F700" t="s">
        <v>1807</v>
      </c>
    </row>
    <row r="701" spans="1:6" x14ac:dyDescent="0.3">
      <c r="A701" t="str">
        <f>HYPERLINK("https://hsdes.intel.com/resource/14013164668","14013164668")</f>
        <v>14013164668</v>
      </c>
      <c r="B701" t="s">
        <v>1816</v>
      </c>
      <c r="C701" t="s">
        <v>1817</v>
      </c>
      <c r="D701" t="s">
        <v>29</v>
      </c>
      <c r="E701" t="s">
        <v>232</v>
      </c>
      <c r="F701" t="s">
        <v>1807</v>
      </c>
    </row>
    <row r="702" spans="1:6" x14ac:dyDescent="0.3">
      <c r="A702" t="str">
        <f>HYPERLINK("https://hsdes.intel.com/resource/14013164670","14013164670")</f>
        <v>14013164670</v>
      </c>
      <c r="B702" t="s">
        <v>1818</v>
      </c>
      <c r="C702" t="s">
        <v>1819</v>
      </c>
      <c r="D702" t="s">
        <v>29</v>
      </c>
      <c r="E702" t="s">
        <v>232</v>
      </c>
      <c r="F702" t="s">
        <v>1807</v>
      </c>
    </row>
    <row r="703" spans="1:6" x14ac:dyDescent="0.3">
      <c r="A703" t="str">
        <f>HYPERLINK("https://hsdes.intel.com/resource/14013164680","14013164680")</f>
        <v>14013164680</v>
      </c>
      <c r="B703" t="s">
        <v>1820</v>
      </c>
      <c r="C703" t="s">
        <v>1821</v>
      </c>
      <c r="D703" t="s">
        <v>29</v>
      </c>
      <c r="E703" t="s">
        <v>232</v>
      </c>
      <c r="F703" t="s">
        <v>1807</v>
      </c>
    </row>
    <row r="704" spans="1:6" x14ac:dyDescent="0.3">
      <c r="A704" t="str">
        <f>HYPERLINK("https://hsdes.intel.com/resource/14013164684","14013164684")</f>
        <v>14013164684</v>
      </c>
      <c r="B704" t="s">
        <v>1822</v>
      </c>
      <c r="C704" t="s">
        <v>1823</v>
      </c>
      <c r="D704" t="s">
        <v>29</v>
      </c>
      <c r="E704" t="s">
        <v>232</v>
      </c>
      <c r="F704" t="s">
        <v>1807</v>
      </c>
    </row>
    <row r="705" spans="1:6" x14ac:dyDescent="0.3">
      <c r="A705" t="str">
        <f>HYPERLINK("https://hsdes.intel.com/resource/14013164690","14013164690")</f>
        <v>14013164690</v>
      </c>
      <c r="B705" t="s">
        <v>1824</v>
      </c>
      <c r="C705" t="s">
        <v>1825</v>
      </c>
      <c r="D705" t="s">
        <v>29</v>
      </c>
      <c r="E705" t="s">
        <v>232</v>
      </c>
      <c r="F705" t="s">
        <v>1807</v>
      </c>
    </row>
    <row r="706" spans="1:6" x14ac:dyDescent="0.3">
      <c r="A706" t="str">
        <f>HYPERLINK("https://hsdes.intel.com/resource/14013164736","14013164736")</f>
        <v>14013164736</v>
      </c>
      <c r="B706" t="s">
        <v>1826</v>
      </c>
      <c r="C706" t="s">
        <v>1827</v>
      </c>
      <c r="D706" t="s">
        <v>17</v>
      </c>
      <c r="E706" t="s">
        <v>30</v>
      </c>
      <c r="F706" t="s">
        <v>1828</v>
      </c>
    </row>
    <row r="707" spans="1:6" x14ac:dyDescent="0.3">
      <c r="A707" t="str">
        <f>HYPERLINK("https://hsdes.intel.com/resource/14013164757","14013164757")</f>
        <v>14013164757</v>
      </c>
      <c r="B707" t="s">
        <v>1829</v>
      </c>
      <c r="C707" t="s">
        <v>1830</v>
      </c>
      <c r="D707" t="s">
        <v>142</v>
      </c>
      <c r="E707" t="s">
        <v>63</v>
      </c>
      <c r="F707" t="s">
        <v>1831</v>
      </c>
    </row>
    <row r="708" spans="1:6" x14ac:dyDescent="0.3">
      <c r="A708" t="str">
        <f>HYPERLINK("https://hsdes.intel.com/resource/14013164788","14013164788")</f>
        <v>14013164788</v>
      </c>
      <c r="B708" t="s">
        <v>1832</v>
      </c>
      <c r="C708" t="s">
        <v>1833</v>
      </c>
      <c r="D708" t="s">
        <v>29</v>
      </c>
      <c r="E708" t="s">
        <v>232</v>
      </c>
      <c r="F708" t="s">
        <v>1807</v>
      </c>
    </row>
    <row r="709" spans="1:6" x14ac:dyDescent="0.3">
      <c r="A709" t="str">
        <f>HYPERLINK("https://hsdes.intel.com/resource/14013165066","14013165066")</f>
        <v>14013165066</v>
      </c>
      <c r="B709" t="s">
        <v>1834</v>
      </c>
      <c r="C709" t="s">
        <v>1835</v>
      </c>
      <c r="D709" t="s">
        <v>142</v>
      </c>
      <c r="E709" t="s">
        <v>63</v>
      </c>
      <c r="F709" t="s">
        <v>594</v>
      </c>
    </row>
    <row r="710" spans="1:6" x14ac:dyDescent="0.3">
      <c r="A710" t="str">
        <f>HYPERLINK("https://hsdes.intel.com/resource/14013165131","14013165131")</f>
        <v>14013165131</v>
      </c>
      <c r="B710" t="s">
        <v>1836</v>
      </c>
      <c r="C710" t="s">
        <v>1837</v>
      </c>
      <c r="D710" t="s">
        <v>6</v>
      </c>
      <c r="E710" t="s">
        <v>1734</v>
      </c>
      <c r="F710" t="s">
        <v>1735</v>
      </c>
    </row>
    <row r="711" spans="1:6" x14ac:dyDescent="0.3">
      <c r="A711" t="str">
        <f>HYPERLINK("https://hsdes.intel.com/resource/14013165152","14013165152")</f>
        <v>14013165152</v>
      </c>
      <c r="B711" t="s">
        <v>1838</v>
      </c>
      <c r="C711" t="s">
        <v>1839</v>
      </c>
      <c r="D711" t="s">
        <v>6</v>
      </c>
      <c r="E711" t="s">
        <v>7</v>
      </c>
      <c r="F711" t="s">
        <v>1840</v>
      </c>
    </row>
    <row r="712" spans="1:6" x14ac:dyDescent="0.3">
      <c r="A712" t="str">
        <f>HYPERLINK("https://hsdes.intel.com/resource/14013165178","14013165178")</f>
        <v>14013165178</v>
      </c>
      <c r="B712" t="s">
        <v>1841</v>
      </c>
      <c r="C712" t="s">
        <v>1842</v>
      </c>
      <c r="D712" t="s">
        <v>6</v>
      </c>
      <c r="E712" t="s">
        <v>7</v>
      </c>
      <c r="F712" t="s">
        <v>1471</v>
      </c>
    </row>
    <row r="713" spans="1:6" x14ac:dyDescent="0.3">
      <c r="A713" t="str">
        <f>HYPERLINK("https://hsdes.intel.com/resource/14013165184","14013165184")</f>
        <v>14013165184</v>
      </c>
      <c r="B713" t="s">
        <v>1843</v>
      </c>
      <c r="C713" t="s">
        <v>1844</v>
      </c>
      <c r="D713" t="s">
        <v>6</v>
      </c>
      <c r="E713" t="s">
        <v>7</v>
      </c>
      <c r="F713" t="s">
        <v>1471</v>
      </c>
    </row>
    <row r="714" spans="1:6" x14ac:dyDescent="0.3">
      <c r="A714" t="str">
        <f>HYPERLINK("https://hsdes.intel.com/resource/14013165195","14013165195")</f>
        <v>14013165195</v>
      </c>
      <c r="B714" t="s">
        <v>1845</v>
      </c>
      <c r="C714" t="s">
        <v>1846</v>
      </c>
      <c r="D714" t="s">
        <v>17</v>
      </c>
      <c r="E714" t="s">
        <v>30</v>
      </c>
      <c r="F714" t="s">
        <v>1847</v>
      </c>
    </row>
    <row r="715" spans="1:6" x14ac:dyDescent="0.3">
      <c r="A715" t="str">
        <f>HYPERLINK("https://hsdes.intel.com/resource/14013165215","14013165215")</f>
        <v>14013165215</v>
      </c>
      <c r="B715" t="s">
        <v>1848</v>
      </c>
      <c r="C715" t="s">
        <v>1849</v>
      </c>
      <c r="D715" t="s">
        <v>6</v>
      </c>
      <c r="E715" t="s">
        <v>7</v>
      </c>
      <c r="F715" t="s">
        <v>1471</v>
      </c>
    </row>
    <row r="716" spans="1:6" x14ac:dyDescent="0.3">
      <c r="A716" t="str">
        <f>HYPERLINK("https://hsdes.intel.com/resource/14013165220","14013165220")</f>
        <v>14013165220</v>
      </c>
      <c r="B716" t="s">
        <v>1850</v>
      </c>
      <c r="C716" t="s">
        <v>1851</v>
      </c>
      <c r="D716" t="s">
        <v>6</v>
      </c>
      <c r="E716" t="s">
        <v>7</v>
      </c>
      <c r="F716" t="s">
        <v>1471</v>
      </c>
    </row>
    <row r="717" spans="1:6" x14ac:dyDescent="0.3">
      <c r="A717" t="str">
        <f>HYPERLINK("https://hsdes.intel.com/resource/14013165230","14013165230")</f>
        <v>14013165230</v>
      </c>
      <c r="B717" t="s">
        <v>1852</v>
      </c>
      <c r="C717" t="s">
        <v>1853</v>
      </c>
      <c r="D717" t="s">
        <v>6</v>
      </c>
      <c r="E717" t="s">
        <v>7</v>
      </c>
      <c r="F717" t="s">
        <v>1471</v>
      </c>
    </row>
    <row r="718" spans="1:6" x14ac:dyDescent="0.3">
      <c r="A718" t="str">
        <f>HYPERLINK("https://hsdes.intel.com/resource/14013165239","14013165239")</f>
        <v>14013165239</v>
      </c>
      <c r="B718" t="s">
        <v>1854</v>
      </c>
      <c r="C718" t="s">
        <v>1855</v>
      </c>
      <c r="D718" t="s">
        <v>6</v>
      </c>
      <c r="E718" t="s">
        <v>7</v>
      </c>
      <c r="F718" t="s">
        <v>1471</v>
      </c>
    </row>
    <row r="719" spans="1:6" x14ac:dyDescent="0.3">
      <c r="A719" t="str">
        <f>HYPERLINK("https://hsdes.intel.com/resource/14013165248","14013165248")</f>
        <v>14013165248</v>
      </c>
      <c r="B719" t="s">
        <v>1856</v>
      </c>
      <c r="C719" t="s">
        <v>1857</v>
      </c>
      <c r="D719" t="s">
        <v>6</v>
      </c>
      <c r="E719" t="s">
        <v>7</v>
      </c>
      <c r="F719" t="s">
        <v>1471</v>
      </c>
    </row>
    <row r="720" spans="1:6" x14ac:dyDescent="0.3">
      <c r="A720" t="str">
        <f>HYPERLINK("https://hsdes.intel.com/resource/14013165251","14013165251")</f>
        <v>14013165251</v>
      </c>
      <c r="B720" t="s">
        <v>1858</v>
      </c>
      <c r="C720" t="s">
        <v>1859</v>
      </c>
      <c r="D720" t="s">
        <v>6</v>
      </c>
      <c r="E720" t="s">
        <v>7</v>
      </c>
      <c r="F720" t="s">
        <v>1471</v>
      </c>
    </row>
    <row r="721" spans="1:6" x14ac:dyDescent="0.3">
      <c r="A721" t="str">
        <f>HYPERLINK("https://hsdes.intel.com/resource/14013165266","14013165266")</f>
        <v>14013165266</v>
      </c>
      <c r="B721" t="s">
        <v>1860</v>
      </c>
      <c r="C721" t="s">
        <v>1861</v>
      </c>
      <c r="D721" t="s">
        <v>6</v>
      </c>
      <c r="E721" t="s">
        <v>7</v>
      </c>
      <c r="F721" t="s">
        <v>1471</v>
      </c>
    </row>
    <row r="722" spans="1:6" x14ac:dyDescent="0.3">
      <c r="A722" t="str">
        <f>HYPERLINK("https://hsdes.intel.com/resource/14013165268","14013165268")</f>
        <v>14013165268</v>
      </c>
      <c r="B722" t="s">
        <v>1862</v>
      </c>
      <c r="C722" t="s">
        <v>1863</v>
      </c>
      <c r="D722" t="s">
        <v>6</v>
      </c>
      <c r="E722" t="s">
        <v>7</v>
      </c>
      <c r="F722" t="s">
        <v>1471</v>
      </c>
    </row>
    <row r="723" spans="1:6" x14ac:dyDescent="0.3">
      <c r="A723" t="str">
        <f>HYPERLINK("https://hsdes.intel.com/resource/14013165277","14013165277")</f>
        <v>14013165277</v>
      </c>
      <c r="B723" t="s">
        <v>1864</v>
      </c>
      <c r="C723" t="s">
        <v>1865</v>
      </c>
      <c r="D723" t="s">
        <v>6</v>
      </c>
      <c r="E723" t="s">
        <v>7</v>
      </c>
      <c r="F723" t="s">
        <v>1471</v>
      </c>
    </row>
    <row r="724" spans="1:6" x14ac:dyDescent="0.3">
      <c r="A724" t="str">
        <f>HYPERLINK("https://hsdes.intel.com/resource/14013165279","14013165279")</f>
        <v>14013165279</v>
      </c>
      <c r="B724" t="s">
        <v>1866</v>
      </c>
      <c r="C724" t="s">
        <v>1867</v>
      </c>
      <c r="D724" t="s">
        <v>6</v>
      </c>
      <c r="E724" t="s">
        <v>7</v>
      </c>
      <c r="F724" t="s">
        <v>1471</v>
      </c>
    </row>
    <row r="725" spans="1:6" x14ac:dyDescent="0.3">
      <c r="A725" t="str">
        <f>HYPERLINK("https://hsdes.intel.com/resource/14013165283","14013165283")</f>
        <v>14013165283</v>
      </c>
      <c r="B725" t="s">
        <v>1868</v>
      </c>
      <c r="C725" t="s">
        <v>1869</v>
      </c>
      <c r="D725" t="s">
        <v>6</v>
      </c>
      <c r="E725" t="s">
        <v>7</v>
      </c>
      <c r="F725" t="s">
        <v>1471</v>
      </c>
    </row>
    <row r="726" spans="1:6" x14ac:dyDescent="0.3">
      <c r="A726" t="str">
        <f>HYPERLINK("https://hsdes.intel.com/resource/14013165285","14013165285")</f>
        <v>14013165285</v>
      </c>
      <c r="B726" t="s">
        <v>1870</v>
      </c>
      <c r="C726" t="s">
        <v>1871</v>
      </c>
      <c r="D726" t="s">
        <v>6</v>
      </c>
      <c r="E726" t="s">
        <v>7</v>
      </c>
      <c r="F726" t="s">
        <v>1471</v>
      </c>
    </row>
    <row r="727" spans="1:6" x14ac:dyDescent="0.3">
      <c r="A727" t="str">
        <f>HYPERLINK("https://hsdes.intel.com/resource/14013165349","14013165349")</f>
        <v>14013165349</v>
      </c>
      <c r="B727" t="s">
        <v>1872</v>
      </c>
      <c r="C727" t="s">
        <v>1873</v>
      </c>
      <c r="D727" t="s">
        <v>6</v>
      </c>
      <c r="E727" t="s">
        <v>1874</v>
      </c>
      <c r="F727" t="s">
        <v>1875</v>
      </c>
    </row>
    <row r="728" spans="1:6" x14ac:dyDescent="0.3">
      <c r="A728" t="str">
        <f>HYPERLINK("https://hsdes.intel.com/resource/14013165361","14013165361")</f>
        <v>14013165361</v>
      </c>
      <c r="B728" t="s">
        <v>1876</v>
      </c>
      <c r="C728" t="s">
        <v>1877</v>
      </c>
      <c r="D728" t="s">
        <v>6</v>
      </c>
      <c r="E728" t="s">
        <v>1874</v>
      </c>
      <c r="F728" t="s">
        <v>1875</v>
      </c>
    </row>
    <row r="729" spans="1:6" x14ac:dyDescent="0.3">
      <c r="A729" t="str">
        <f>HYPERLINK("https://hsdes.intel.com/resource/14013165372","14013165372")</f>
        <v>14013165372</v>
      </c>
      <c r="B729" t="s">
        <v>1878</v>
      </c>
      <c r="C729" t="s">
        <v>1879</v>
      </c>
      <c r="D729" t="s">
        <v>6</v>
      </c>
      <c r="E729" t="s">
        <v>1874</v>
      </c>
      <c r="F729" t="s">
        <v>1875</v>
      </c>
    </row>
    <row r="730" spans="1:6" x14ac:dyDescent="0.3">
      <c r="A730" t="str">
        <f>HYPERLINK("https://hsdes.intel.com/resource/14013165375","14013165375")</f>
        <v>14013165375</v>
      </c>
      <c r="B730" t="s">
        <v>1880</v>
      </c>
      <c r="C730" t="s">
        <v>1881</v>
      </c>
      <c r="D730" t="s">
        <v>6</v>
      </c>
      <c r="E730" t="s">
        <v>1874</v>
      </c>
      <c r="F730" t="s">
        <v>1882</v>
      </c>
    </row>
    <row r="731" spans="1:6" x14ac:dyDescent="0.3">
      <c r="A731" t="str">
        <f>HYPERLINK("https://hsdes.intel.com/resource/14013165380","14013165380")</f>
        <v>14013165380</v>
      </c>
      <c r="B731" t="s">
        <v>1883</v>
      </c>
      <c r="C731" t="s">
        <v>1884</v>
      </c>
      <c r="D731" t="s">
        <v>6</v>
      </c>
      <c r="E731" t="s">
        <v>1874</v>
      </c>
      <c r="F731" t="s">
        <v>1882</v>
      </c>
    </row>
    <row r="732" spans="1:6" x14ac:dyDescent="0.3">
      <c r="A732" t="str">
        <f>HYPERLINK("https://hsdes.intel.com/resource/14013165383","14013165383")</f>
        <v>14013165383</v>
      </c>
      <c r="B732" t="s">
        <v>1885</v>
      </c>
      <c r="C732" t="s">
        <v>1886</v>
      </c>
      <c r="D732" t="s">
        <v>6</v>
      </c>
      <c r="E732" t="s">
        <v>7</v>
      </c>
      <c r="F732" t="s">
        <v>1494</v>
      </c>
    </row>
    <row r="733" spans="1:6" x14ac:dyDescent="0.3">
      <c r="A733" t="str">
        <f>HYPERLINK("https://hsdes.intel.com/resource/14013165391","14013165391")</f>
        <v>14013165391</v>
      </c>
      <c r="B733" t="s">
        <v>1887</v>
      </c>
      <c r="C733" t="s">
        <v>1888</v>
      </c>
      <c r="D733" t="s">
        <v>6</v>
      </c>
      <c r="E733" t="s">
        <v>7</v>
      </c>
      <c r="F733" t="s">
        <v>1494</v>
      </c>
    </row>
    <row r="734" spans="1:6" x14ac:dyDescent="0.3">
      <c r="A734" t="str">
        <f>HYPERLINK("https://hsdes.intel.com/resource/14013165397","14013165397")</f>
        <v>14013165397</v>
      </c>
      <c r="B734" t="s">
        <v>1889</v>
      </c>
      <c r="C734" t="s">
        <v>1890</v>
      </c>
      <c r="D734" t="s">
        <v>6</v>
      </c>
      <c r="E734" t="s">
        <v>7</v>
      </c>
      <c r="F734" t="s">
        <v>1494</v>
      </c>
    </row>
    <row r="735" spans="1:6" x14ac:dyDescent="0.3">
      <c r="A735" t="str">
        <f>HYPERLINK("https://hsdes.intel.com/resource/14013165401","14013165401")</f>
        <v>14013165401</v>
      </c>
      <c r="B735" t="s">
        <v>1891</v>
      </c>
      <c r="C735" t="s">
        <v>1892</v>
      </c>
      <c r="D735" t="s">
        <v>6</v>
      </c>
      <c r="E735" t="s">
        <v>7</v>
      </c>
      <c r="F735" t="s">
        <v>1494</v>
      </c>
    </row>
    <row r="736" spans="1:6" x14ac:dyDescent="0.3">
      <c r="A736" t="str">
        <f>HYPERLINK("https://hsdes.intel.com/resource/14013165406","14013165406")</f>
        <v>14013165406</v>
      </c>
      <c r="B736" t="s">
        <v>1893</v>
      </c>
      <c r="C736" t="s">
        <v>1894</v>
      </c>
      <c r="D736" t="s">
        <v>6</v>
      </c>
      <c r="E736" t="s">
        <v>7</v>
      </c>
      <c r="F736" t="s">
        <v>1494</v>
      </c>
    </row>
    <row r="737" spans="1:6" x14ac:dyDescent="0.3">
      <c r="A737" t="str">
        <f>HYPERLINK("https://hsdes.intel.com/resource/14013165413","14013165413")</f>
        <v>14013165413</v>
      </c>
      <c r="B737" t="s">
        <v>1895</v>
      </c>
      <c r="C737" t="s">
        <v>1896</v>
      </c>
      <c r="D737" t="s">
        <v>6</v>
      </c>
      <c r="E737" t="s">
        <v>7</v>
      </c>
      <c r="F737" t="s">
        <v>1494</v>
      </c>
    </row>
    <row r="738" spans="1:6" x14ac:dyDescent="0.3">
      <c r="A738" t="str">
        <f>HYPERLINK("https://hsdes.intel.com/resource/14013165418","14013165418")</f>
        <v>14013165418</v>
      </c>
      <c r="B738" t="s">
        <v>1897</v>
      </c>
      <c r="C738" t="s">
        <v>1898</v>
      </c>
      <c r="D738" t="s">
        <v>6</v>
      </c>
      <c r="E738" t="s">
        <v>7</v>
      </c>
      <c r="F738" t="s">
        <v>1494</v>
      </c>
    </row>
    <row r="739" spans="1:6" x14ac:dyDescent="0.3">
      <c r="A739" t="str">
        <f>HYPERLINK("https://hsdes.intel.com/resource/14013165427","14013165427")</f>
        <v>14013165427</v>
      </c>
      <c r="B739" t="s">
        <v>1899</v>
      </c>
      <c r="C739" t="s">
        <v>1900</v>
      </c>
      <c r="D739" t="s">
        <v>6</v>
      </c>
      <c r="E739" t="s">
        <v>7</v>
      </c>
      <c r="F739" t="s">
        <v>1494</v>
      </c>
    </row>
    <row r="740" spans="1:6" x14ac:dyDescent="0.3">
      <c r="A740" t="str">
        <f>HYPERLINK("https://hsdes.intel.com/resource/14013165430","14013165430")</f>
        <v>14013165430</v>
      </c>
      <c r="B740" t="s">
        <v>1901</v>
      </c>
      <c r="C740" t="s">
        <v>1902</v>
      </c>
      <c r="D740" t="s">
        <v>6</v>
      </c>
      <c r="E740" t="s">
        <v>7</v>
      </c>
      <c r="F740" t="s">
        <v>1494</v>
      </c>
    </row>
    <row r="741" spans="1:6" x14ac:dyDescent="0.3">
      <c r="A741" t="str">
        <f>HYPERLINK("https://hsdes.intel.com/resource/14013165431","14013165431")</f>
        <v>14013165431</v>
      </c>
      <c r="B741" t="s">
        <v>1903</v>
      </c>
      <c r="C741" t="s">
        <v>1904</v>
      </c>
      <c r="D741" t="s">
        <v>6</v>
      </c>
      <c r="E741" t="s">
        <v>7</v>
      </c>
      <c r="F741" t="s">
        <v>1494</v>
      </c>
    </row>
    <row r="742" spans="1:6" x14ac:dyDescent="0.3">
      <c r="A742" t="str">
        <f>HYPERLINK("https://hsdes.intel.com/resource/14013165436","14013165436")</f>
        <v>14013165436</v>
      </c>
      <c r="B742" t="s">
        <v>1905</v>
      </c>
      <c r="C742" t="s">
        <v>1906</v>
      </c>
      <c r="D742" t="s">
        <v>6</v>
      </c>
      <c r="E742" t="s">
        <v>7</v>
      </c>
      <c r="F742" t="s">
        <v>1494</v>
      </c>
    </row>
    <row r="743" spans="1:6" x14ac:dyDescent="0.3">
      <c r="A743" t="str">
        <f>HYPERLINK("https://hsdes.intel.com/resource/14013165438","14013165438")</f>
        <v>14013165438</v>
      </c>
      <c r="B743" t="s">
        <v>1907</v>
      </c>
      <c r="C743" t="s">
        <v>1908</v>
      </c>
      <c r="D743" t="s">
        <v>6</v>
      </c>
      <c r="E743" t="s">
        <v>7</v>
      </c>
      <c r="F743" t="s">
        <v>1494</v>
      </c>
    </row>
    <row r="744" spans="1:6" x14ac:dyDescent="0.3">
      <c r="A744" t="str">
        <f>HYPERLINK("https://hsdes.intel.com/resource/14013165440","14013165440")</f>
        <v>14013165440</v>
      </c>
      <c r="B744" t="s">
        <v>1909</v>
      </c>
      <c r="C744" t="s">
        <v>1910</v>
      </c>
      <c r="D744" t="s">
        <v>6</v>
      </c>
      <c r="E744" t="s">
        <v>7</v>
      </c>
      <c r="F744" t="s">
        <v>1494</v>
      </c>
    </row>
    <row r="745" spans="1:6" x14ac:dyDescent="0.3">
      <c r="A745" t="str">
        <f>HYPERLINK("https://hsdes.intel.com/resource/14013165443","14013165443")</f>
        <v>14013165443</v>
      </c>
      <c r="B745" t="s">
        <v>1911</v>
      </c>
      <c r="C745" t="s">
        <v>1912</v>
      </c>
      <c r="D745" t="s">
        <v>6</v>
      </c>
      <c r="E745" t="s">
        <v>7</v>
      </c>
      <c r="F745" t="s">
        <v>1494</v>
      </c>
    </row>
    <row r="746" spans="1:6" x14ac:dyDescent="0.3">
      <c r="A746" t="str">
        <f>HYPERLINK("https://hsdes.intel.com/resource/14013165445","14013165445")</f>
        <v>14013165445</v>
      </c>
      <c r="B746" t="s">
        <v>1913</v>
      </c>
      <c r="C746" t="s">
        <v>1914</v>
      </c>
      <c r="D746" t="s">
        <v>6</v>
      </c>
      <c r="E746" t="s">
        <v>7</v>
      </c>
      <c r="F746" t="s">
        <v>1471</v>
      </c>
    </row>
    <row r="747" spans="1:6" x14ac:dyDescent="0.3">
      <c r="A747" t="str">
        <f>HYPERLINK("https://hsdes.intel.com/resource/14013165449","14013165449")</f>
        <v>14013165449</v>
      </c>
      <c r="B747" t="s">
        <v>1915</v>
      </c>
      <c r="C747" t="s">
        <v>1916</v>
      </c>
      <c r="D747" t="s">
        <v>6</v>
      </c>
      <c r="E747" t="s">
        <v>7</v>
      </c>
      <c r="F747" t="s">
        <v>1471</v>
      </c>
    </row>
    <row r="748" spans="1:6" x14ac:dyDescent="0.3">
      <c r="A748" t="str">
        <f>HYPERLINK("https://hsdes.intel.com/resource/14013165473","14013165473")</f>
        <v>14013165473</v>
      </c>
      <c r="B748" t="s">
        <v>1917</v>
      </c>
      <c r="C748" t="s">
        <v>1918</v>
      </c>
      <c r="D748" t="s">
        <v>6</v>
      </c>
      <c r="E748" t="s">
        <v>7</v>
      </c>
      <c r="F748" t="s">
        <v>1919</v>
      </c>
    </row>
    <row r="749" spans="1:6" x14ac:dyDescent="0.3">
      <c r="A749" t="str">
        <f>HYPERLINK("https://hsdes.intel.com/resource/14013165480","14013165480")</f>
        <v>14013165480</v>
      </c>
      <c r="B749" t="s">
        <v>1920</v>
      </c>
      <c r="C749" t="s">
        <v>1921</v>
      </c>
      <c r="D749" t="s">
        <v>6</v>
      </c>
      <c r="E749" t="s">
        <v>7</v>
      </c>
      <c r="F749" t="s">
        <v>1919</v>
      </c>
    </row>
    <row r="750" spans="1:6" x14ac:dyDescent="0.3">
      <c r="A750" t="str">
        <f>HYPERLINK("https://hsdes.intel.com/resource/14013165533","14013165533")</f>
        <v>14013165533</v>
      </c>
      <c r="B750" t="s">
        <v>1922</v>
      </c>
      <c r="C750" t="s">
        <v>1923</v>
      </c>
      <c r="D750" t="s">
        <v>29</v>
      </c>
      <c r="E750" t="s">
        <v>63</v>
      </c>
      <c r="F750" t="s">
        <v>259</v>
      </c>
    </row>
    <row r="751" spans="1:6" x14ac:dyDescent="0.3">
      <c r="A751" t="str">
        <f>HYPERLINK("https://hsdes.intel.com/resource/14013165539","14013165539")</f>
        <v>14013165539</v>
      </c>
      <c r="B751" t="s">
        <v>1924</v>
      </c>
      <c r="C751" t="s">
        <v>1925</v>
      </c>
      <c r="D751" t="s">
        <v>29</v>
      </c>
      <c r="E751" t="s">
        <v>63</v>
      </c>
      <c r="F751" t="s">
        <v>1926</v>
      </c>
    </row>
    <row r="752" spans="1:6" x14ac:dyDescent="0.3">
      <c r="A752" t="str">
        <f>HYPERLINK("https://hsdes.intel.com/resource/14013165547","14013165547")</f>
        <v>14013165547</v>
      </c>
      <c r="B752" t="s">
        <v>1927</v>
      </c>
      <c r="C752" t="s">
        <v>1928</v>
      </c>
      <c r="D752" t="s">
        <v>17</v>
      </c>
      <c r="E752" t="s">
        <v>172</v>
      </c>
      <c r="F752" t="s">
        <v>594</v>
      </c>
    </row>
    <row r="753" spans="1:6" x14ac:dyDescent="0.3">
      <c r="A753" t="str">
        <f>HYPERLINK("https://hsdes.intel.com/resource/14013165558","14013165558")</f>
        <v>14013165558</v>
      </c>
      <c r="B753" t="s">
        <v>1929</v>
      </c>
      <c r="C753" t="s">
        <v>1930</v>
      </c>
      <c r="D753" t="s">
        <v>17</v>
      </c>
      <c r="E753" t="s">
        <v>172</v>
      </c>
      <c r="F753" t="s">
        <v>1931</v>
      </c>
    </row>
    <row r="754" spans="1:6" x14ac:dyDescent="0.3">
      <c r="A754" t="str">
        <f>HYPERLINK("https://hsdes.intel.com/resource/14013165601","14013165601")</f>
        <v>14013165601</v>
      </c>
      <c r="B754" t="s">
        <v>1932</v>
      </c>
      <c r="C754" t="s">
        <v>1933</v>
      </c>
      <c r="D754" t="s">
        <v>17</v>
      </c>
      <c r="E754" t="s">
        <v>30</v>
      </c>
      <c r="F754" t="s">
        <v>610</v>
      </c>
    </row>
    <row r="755" spans="1:6" x14ac:dyDescent="0.3">
      <c r="A755" t="str">
        <f>HYPERLINK("https://hsdes.intel.com/resource/14013165602","14013165602")</f>
        <v>14013165602</v>
      </c>
      <c r="B755" t="s">
        <v>1934</v>
      </c>
      <c r="C755" t="s">
        <v>1935</v>
      </c>
      <c r="D755" t="s">
        <v>62</v>
      </c>
      <c r="E755" t="s">
        <v>30</v>
      </c>
      <c r="F755" t="s">
        <v>585</v>
      </c>
    </row>
    <row r="756" spans="1:6" x14ac:dyDescent="0.3">
      <c r="A756" t="str">
        <f>HYPERLINK("https://hsdes.intel.com/resource/14013165605","14013165605")</f>
        <v>14013165605</v>
      </c>
      <c r="B756" t="s">
        <v>1936</v>
      </c>
      <c r="C756" t="s">
        <v>1937</v>
      </c>
      <c r="D756" t="s">
        <v>29</v>
      </c>
      <c r="E756" t="s">
        <v>232</v>
      </c>
      <c r="F756" t="s">
        <v>1807</v>
      </c>
    </row>
    <row r="757" spans="1:6" x14ac:dyDescent="0.3">
      <c r="A757" t="str">
        <f>HYPERLINK("https://hsdes.intel.com/resource/14013165633","14013165633")</f>
        <v>14013165633</v>
      </c>
      <c r="B757" t="s">
        <v>1938</v>
      </c>
      <c r="C757" t="s">
        <v>1939</v>
      </c>
      <c r="D757" t="s">
        <v>29</v>
      </c>
      <c r="E757" t="s">
        <v>80</v>
      </c>
      <c r="F757" t="s">
        <v>239</v>
      </c>
    </row>
    <row r="758" spans="1:6" x14ac:dyDescent="0.3">
      <c r="A758" t="str">
        <f>HYPERLINK("https://hsdes.intel.com/resource/14013165719","14013165719")</f>
        <v>14013165719</v>
      </c>
      <c r="B758" t="s">
        <v>1940</v>
      </c>
      <c r="C758" t="s">
        <v>1941</v>
      </c>
      <c r="D758" t="s">
        <v>29</v>
      </c>
      <c r="E758" t="s">
        <v>232</v>
      </c>
      <c r="F758" t="s">
        <v>239</v>
      </c>
    </row>
    <row r="759" spans="1:6" x14ac:dyDescent="0.3">
      <c r="A759" t="str">
        <f>HYPERLINK("https://hsdes.intel.com/resource/14013165731","14013165731")</f>
        <v>14013165731</v>
      </c>
      <c r="B759" t="s">
        <v>1942</v>
      </c>
      <c r="C759" t="s">
        <v>1943</v>
      </c>
      <c r="D759" t="s">
        <v>29</v>
      </c>
      <c r="E759" t="s">
        <v>232</v>
      </c>
      <c r="F759" t="s">
        <v>239</v>
      </c>
    </row>
    <row r="760" spans="1:6" x14ac:dyDescent="0.3">
      <c r="A760" t="str">
        <f>HYPERLINK("https://hsdes.intel.com/resource/14013165744","14013165744")</f>
        <v>14013165744</v>
      </c>
      <c r="B760" t="s">
        <v>1944</v>
      </c>
      <c r="C760" t="s">
        <v>1945</v>
      </c>
      <c r="D760" t="s">
        <v>29</v>
      </c>
      <c r="E760" t="s">
        <v>232</v>
      </c>
      <c r="F760" t="s">
        <v>239</v>
      </c>
    </row>
    <row r="761" spans="1:6" x14ac:dyDescent="0.3">
      <c r="A761" t="str">
        <f>HYPERLINK("https://hsdes.intel.com/resource/14013165750","14013165750")</f>
        <v>14013165750</v>
      </c>
      <c r="B761" t="s">
        <v>1946</v>
      </c>
      <c r="C761" t="s">
        <v>1947</v>
      </c>
      <c r="D761" t="s">
        <v>29</v>
      </c>
      <c r="E761" t="s">
        <v>232</v>
      </c>
      <c r="F761" t="s">
        <v>239</v>
      </c>
    </row>
    <row r="762" spans="1:6" x14ac:dyDescent="0.3">
      <c r="A762" t="str">
        <f>HYPERLINK("https://hsdes.intel.com/resource/14013165754","14013165754")</f>
        <v>14013165754</v>
      </c>
      <c r="B762" t="s">
        <v>1948</v>
      </c>
      <c r="C762" t="s">
        <v>1949</v>
      </c>
      <c r="D762" t="s">
        <v>29</v>
      </c>
      <c r="E762" t="s">
        <v>232</v>
      </c>
      <c r="F762" t="s">
        <v>239</v>
      </c>
    </row>
    <row r="763" spans="1:6" x14ac:dyDescent="0.3">
      <c r="A763" t="str">
        <f>HYPERLINK("https://hsdes.intel.com/resource/14013165756","14013165756")</f>
        <v>14013165756</v>
      </c>
      <c r="B763" t="s">
        <v>1950</v>
      </c>
      <c r="C763" t="s">
        <v>1951</v>
      </c>
      <c r="D763" t="s">
        <v>29</v>
      </c>
      <c r="E763" t="s">
        <v>232</v>
      </c>
      <c r="F763" t="s">
        <v>259</v>
      </c>
    </row>
    <row r="764" spans="1:6" x14ac:dyDescent="0.3">
      <c r="A764" t="str">
        <f>HYPERLINK("https://hsdes.intel.com/resource/14013165758","14013165758")</f>
        <v>14013165758</v>
      </c>
      <c r="B764" t="s">
        <v>1952</v>
      </c>
      <c r="C764" t="s">
        <v>1953</v>
      </c>
      <c r="D764" t="s">
        <v>29</v>
      </c>
      <c r="E764" t="s">
        <v>232</v>
      </c>
      <c r="F764" t="s">
        <v>239</v>
      </c>
    </row>
    <row r="765" spans="1:6" x14ac:dyDescent="0.3">
      <c r="A765" t="str">
        <f>HYPERLINK("https://hsdes.intel.com/resource/14013165760","14013165760")</f>
        <v>14013165760</v>
      </c>
      <c r="B765" t="s">
        <v>1954</v>
      </c>
      <c r="C765" t="s">
        <v>1955</v>
      </c>
      <c r="D765" t="s">
        <v>29</v>
      </c>
      <c r="E765" t="s">
        <v>232</v>
      </c>
      <c r="F765" t="s">
        <v>239</v>
      </c>
    </row>
    <row r="766" spans="1:6" x14ac:dyDescent="0.3">
      <c r="A766" t="str">
        <f>HYPERLINK("https://hsdes.intel.com/resource/14013165764","14013165764")</f>
        <v>14013165764</v>
      </c>
      <c r="B766" t="s">
        <v>1956</v>
      </c>
      <c r="C766" t="s">
        <v>1957</v>
      </c>
      <c r="D766" t="s">
        <v>29</v>
      </c>
      <c r="E766" t="s">
        <v>232</v>
      </c>
      <c r="F766" t="s">
        <v>239</v>
      </c>
    </row>
    <row r="767" spans="1:6" x14ac:dyDescent="0.3">
      <c r="A767" t="str">
        <f>HYPERLINK("https://hsdes.intel.com/resource/14013165921","14013165921")</f>
        <v>14013165921</v>
      </c>
      <c r="B767" t="s">
        <v>1936</v>
      </c>
      <c r="C767" t="s">
        <v>1958</v>
      </c>
      <c r="D767" t="s">
        <v>29</v>
      </c>
      <c r="E767" t="s">
        <v>232</v>
      </c>
      <c r="F767" t="s">
        <v>1807</v>
      </c>
    </row>
    <row r="768" spans="1:6" x14ac:dyDescent="0.3">
      <c r="A768" t="str">
        <f>HYPERLINK("https://hsdes.intel.com/resource/14013165924","14013165924")</f>
        <v>14013165924</v>
      </c>
      <c r="B768" t="s">
        <v>1959</v>
      </c>
      <c r="C768" t="s">
        <v>1960</v>
      </c>
      <c r="D768" t="s">
        <v>17</v>
      </c>
      <c r="E768" t="s">
        <v>63</v>
      </c>
      <c r="F768" t="s">
        <v>1961</v>
      </c>
    </row>
    <row r="769" spans="1:6" x14ac:dyDescent="0.3">
      <c r="A769" t="str">
        <f>HYPERLINK("https://hsdes.intel.com/resource/14013165927","14013165927")</f>
        <v>14013165927</v>
      </c>
      <c r="B769" t="s">
        <v>1962</v>
      </c>
      <c r="C769" t="s">
        <v>1963</v>
      </c>
      <c r="D769" t="s">
        <v>142</v>
      </c>
      <c r="E769" t="s">
        <v>63</v>
      </c>
      <c r="F769" t="s">
        <v>610</v>
      </c>
    </row>
    <row r="770" spans="1:6" x14ac:dyDescent="0.3">
      <c r="A770" t="str">
        <f>HYPERLINK("https://hsdes.intel.com/resource/14013166261","14013166261")</f>
        <v>14013166261</v>
      </c>
      <c r="B770" t="s">
        <v>1964</v>
      </c>
      <c r="C770" t="s">
        <v>1965</v>
      </c>
      <c r="D770" t="s">
        <v>62</v>
      </c>
      <c r="E770" t="s">
        <v>30</v>
      </c>
      <c r="F770" t="s">
        <v>937</v>
      </c>
    </row>
    <row r="771" spans="1:6" x14ac:dyDescent="0.3">
      <c r="A771" t="str">
        <f>HYPERLINK("https://hsdes.intel.com/resource/14013166665","14013166665")</f>
        <v>14013166665</v>
      </c>
      <c r="B771" t="s">
        <v>1966</v>
      </c>
      <c r="C771" t="s">
        <v>1967</v>
      </c>
      <c r="D771" t="s">
        <v>22</v>
      </c>
      <c r="E771" t="s">
        <v>18</v>
      </c>
      <c r="F771" t="s">
        <v>734</v>
      </c>
    </row>
    <row r="772" spans="1:6" x14ac:dyDescent="0.3">
      <c r="A772" t="str">
        <f>HYPERLINK("https://hsdes.intel.com/resource/14013166925","14013166925")</f>
        <v>14013166925</v>
      </c>
      <c r="B772" t="s">
        <v>1968</v>
      </c>
      <c r="C772" t="s">
        <v>1969</v>
      </c>
      <c r="D772" t="s">
        <v>29</v>
      </c>
      <c r="E772" t="s">
        <v>30</v>
      </c>
      <c r="F772" t="s">
        <v>1970</v>
      </c>
    </row>
    <row r="773" spans="1:6" x14ac:dyDescent="0.3">
      <c r="A773" t="str">
        <f>HYPERLINK("https://hsdes.intel.com/resource/14013166930","14013166930")</f>
        <v>14013166930</v>
      </c>
      <c r="B773" t="s">
        <v>1971</v>
      </c>
      <c r="C773" t="s">
        <v>1972</v>
      </c>
      <c r="D773" t="s">
        <v>29</v>
      </c>
      <c r="E773" t="s">
        <v>30</v>
      </c>
      <c r="F773" t="s">
        <v>71</v>
      </c>
    </row>
    <row r="774" spans="1:6" x14ac:dyDescent="0.3">
      <c r="A774" t="str">
        <f>HYPERLINK("https://hsdes.intel.com/resource/14013166935","14013166935")</f>
        <v>14013166935</v>
      </c>
      <c r="B774" t="s">
        <v>1973</v>
      </c>
      <c r="C774" t="s">
        <v>1974</v>
      </c>
      <c r="D774" t="s">
        <v>29</v>
      </c>
      <c r="E774" t="s">
        <v>30</v>
      </c>
      <c r="F774" t="s">
        <v>1975</v>
      </c>
    </row>
    <row r="775" spans="1:6" x14ac:dyDescent="0.3">
      <c r="A775" t="str">
        <f>HYPERLINK("https://hsdes.intel.com/resource/14013166939","14013166939")</f>
        <v>14013166939</v>
      </c>
      <c r="B775" t="s">
        <v>1976</v>
      </c>
      <c r="C775" t="s">
        <v>1977</v>
      </c>
      <c r="D775" t="s">
        <v>29</v>
      </c>
      <c r="E775" t="s">
        <v>30</v>
      </c>
      <c r="F775" t="s">
        <v>50</v>
      </c>
    </row>
    <row r="776" spans="1:6" x14ac:dyDescent="0.3">
      <c r="A776" t="str">
        <f>HYPERLINK("https://hsdes.intel.com/resource/14013166951","14013166951")</f>
        <v>14013166951</v>
      </c>
      <c r="B776" t="s">
        <v>1978</v>
      </c>
      <c r="C776" t="s">
        <v>1979</v>
      </c>
      <c r="D776" t="s">
        <v>17</v>
      </c>
      <c r="E776" t="s">
        <v>30</v>
      </c>
      <c r="F776" t="s">
        <v>8</v>
      </c>
    </row>
    <row r="777" spans="1:6" x14ac:dyDescent="0.3">
      <c r="A777" t="str">
        <f>HYPERLINK("https://hsdes.intel.com/resource/14013166957","14013166957")</f>
        <v>14013166957</v>
      </c>
      <c r="B777" t="s">
        <v>1980</v>
      </c>
      <c r="C777" t="s">
        <v>1981</v>
      </c>
      <c r="D777" t="s">
        <v>29</v>
      </c>
      <c r="E777" t="s">
        <v>30</v>
      </c>
      <c r="F777" t="s">
        <v>59</v>
      </c>
    </row>
    <row r="778" spans="1:6" x14ac:dyDescent="0.3">
      <c r="A778" t="str">
        <f>HYPERLINK("https://hsdes.intel.com/resource/14013166966","14013166966")</f>
        <v>14013166966</v>
      </c>
      <c r="B778" t="s">
        <v>1982</v>
      </c>
      <c r="C778" t="s">
        <v>1983</v>
      </c>
      <c r="D778" t="s">
        <v>29</v>
      </c>
      <c r="E778" t="s">
        <v>30</v>
      </c>
      <c r="F778" t="s">
        <v>50</v>
      </c>
    </row>
    <row r="779" spans="1:6" x14ac:dyDescent="0.3">
      <c r="A779" t="str">
        <f>HYPERLINK("https://hsdes.intel.com/resource/14013166973","14013166973")</f>
        <v>14013166973</v>
      </c>
      <c r="B779" t="s">
        <v>1984</v>
      </c>
      <c r="C779" t="s">
        <v>1985</v>
      </c>
      <c r="D779" t="s">
        <v>29</v>
      </c>
      <c r="E779" t="s">
        <v>30</v>
      </c>
      <c r="F779" t="s">
        <v>1986</v>
      </c>
    </row>
    <row r="780" spans="1:6" x14ac:dyDescent="0.3">
      <c r="A780" t="str">
        <f>HYPERLINK("https://hsdes.intel.com/resource/14013166980","14013166980")</f>
        <v>14013166980</v>
      </c>
      <c r="B780" t="s">
        <v>1987</v>
      </c>
      <c r="C780" t="s">
        <v>1988</v>
      </c>
      <c r="D780" t="s">
        <v>29</v>
      </c>
      <c r="E780" t="s">
        <v>30</v>
      </c>
      <c r="F780" t="s">
        <v>1989</v>
      </c>
    </row>
    <row r="781" spans="1:6" x14ac:dyDescent="0.3">
      <c r="A781" t="str">
        <f>HYPERLINK("https://hsdes.intel.com/resource/14013166986","14013166986")</f>
        <v>14013166986</v>
      </c>
      <c r="B781" t="s">
        <v>1990</v>
      </c>
      <c r="C781" t="s">
        <v>1991</v>
      </c>
      <c r="D781" t="s">
        <v>29</v>
      </c>
      <c r="E781" t="s">
        <v>30</v>
      </c>
      <c r="F781" t="s">
        <v>42</v>
      </c>
    </row>
    <row r="782" spans="1:6" x14ac:dyDescent="0.3">
      <c r="A782" t="str">
        <f>HYPERLINK("https://hsdes.intel.com/resource/14013166995","14013166995")</f>
        <v>14013166995</v>
      </c>
      <c r="B782" t="s">
        <v>1992</v>
      </c>
      <c r="C782" t="s">
        <v>1993</v>
      </c>
      <c r="D782" t="s">
        <v>29</v>
      </c>
      <c r="E782" t="s">
        <v>30</v>
      </c>
      <c r="F782" t="s">
        <v>1994</v>
      </c>
    </row>
    <row r="783" spans="1:6" x14ac:dyDescent="0.3">
      <c r="A783" t="str">
        <f>HYPERLINK("https://hsdes.intel.com/resource/14013167005","14013167005")</f>
        <v>14013167005</v>
      </c>
      <c r="B783" t="s">
        <v>1995</v>
      </c>
      <c r="C783" t="s">
        <v>1996</v>
      </c>
      <c r="D783" t="s">
        <v>29</v>
      </c>
      <c r="E783" t="s">
        <v>30</v>
      </c>
      <c r="F783" t="s">
        <v>23</v>
      </c>
    </row>
    <row r="784" spans="1:6" x14ac:dyDescent="0.3">
      <c r="A784" t="str">
        <f>HYPERLINK("https://hsdes.intel.com/resource/14013167008","14013167008")</f>
        <v>14013167008</v>
      </c>
      <c r="B784" t="s">
        <v>1997</v>
      </c>
      <c r="C784" t="s">
        <v>1998</v>
      </c>
      <c r="D784" t="s">
        <v>29</v>
      </c>
      <c r="E784" t="s">
        <v>30</v>
      </c>
      <c r="F784" t="s">
        <v>1989</v>
      </c>
    </row>
    <row r="785" spans="1:6" x14ac:dyDescent="0.3">
      <c r="A785" t="str">
        <f>HYPERLINK("https://hsdes.intel.com/resource/14013167043","14013167043")</f>
        <v>14013167043</v>
      </c>
      <c r="B785" t="s">
        <v>1999</v>
      </c>
      <c r="C785" t="s">
        <v>2000</v>
      </c>
      <c r="D785" t="s">
        <v>29</v>
      </c>
      <c r="E785" t="s">
        <v>30</v>
      </c>
      <c r="F785" t="s">
        <v>42</v>
      </c>
    </row>
    <row r="786" spans="1:6" x14ac:dyDescent="0.3">
      <c r="A786" t="str">
        <f>HYPERLINK("https://hsdes.intel.com/resource/14013167048","14013167048")</f>
        <v>14013167048</v>
      </c>
      <c r="B786" t="s">
        <v>2001</v>
      </c>
      <c r="C786" t="s">
        <v>2002</v>
      </c>
      <c r="D786" t="s">
        <v>29</v>
      </c>
      <c r="E786" t="s">
        <v>30</v>
      </c>
      <c r="F786" t="s">
        <v>2003</v>
      </c>
    </row>
    <row r="787" spans="1:6" x14ac:dyDescent="0.3">
      <c r="A787" t="str">
        <f>HYPERLINK("https://hsdes.intel.com/resource/14013167052","14013167052")</f>
        <v>14013167052</v>
      </c>
      <c r="B787" t="s">
        <v>2004</v>
      </c>
      <c r="C787" t="s">
        <v>2005</v>
      </c>
      <c r="D787" t="s">
        <v>29</v>
      </c>
      <c r="E787" t="s">
        <v>30</v>
      </c>
      <c r="F787" t="s">
        <v>2006</v>
      </c>
    </row>
    <row r="788" spans="1:6" x14ac:dyDescent="0.3">
      <c r="A788" t="str">
        <f>HYPERLINK("https://hsdes.intel.com/resource/14013167054","14013167054")</f>
        <v>14013167054</v>
      </c>
      <c r="B788" t="s">
        <v>2007</v>
      </c>
      <c r="C788" t="s">
        <v>2008</v>
      </c>
      <c r="D788" t="s">
        <v>29</v>
      </c>
      <c r="E788" t="s">
        <v>18</v>
      </c>
      <c r="F788" t="s">
        <v>2009</v>
      </c>
    </row>
    <row r="789" spans="1:6" x14ac:dyDescent="0.3">
      <c r="A789" t="str">
        <f>HYPERLINK("https://hsdes.intel.com/resource/14013167061","14013167061")</f>
        <v>14013167061</v>
      </c>
      <c r="B789" t="s">
        <v>2010</v>
      </c>
      <c r="C789" t="s">
        <v>2011</v>
      </c>
      <c r="D789" t="s">
        <v>29</v>
      </c>
      <c r="E789" t="s">
        <v>30</v>
      </c>
      <c r="F789" t="s">
        <v>2012</v>
      </c>
    </row>
    <row r="790" spans="1:6" x14ac:dyDescent="0.3">
      <c r="A790" t="str">
        <f>HYPERLINK("https://hsdes.intel.com/resource/14013167069","14013167069")</f>
        <v>14013167069</v>
      </c>
      <c r="B790" t="s">
        <v>2013</v>
      </c>
      <c r="C790" t="s">
        <v>2014</v>
      </c>
      <c r="D790" t="s">
        <v>29</v>
      </c>
      <c r="E790" t="s">
        <v>30</v>
      </c>
      <c r="F790" t="s">
        <v>2015</v>
      </c>
    </row>
    <row r="791" spans="1:6" x14ac:dyDescent="0.3">
      <c r="A791" t="str">
        <f>HYPERLINK("https://hsdes.intel.com/resource/14013167072","14013167072")</f>
        <v>14013167072</v>
      </c>
      <c r="B791" t="s">
        <v>2016</v>
      </c>
      <c r="C791" t="s">
        <v>2017</v>
      </c>
      <c r="D791" t="s">
        <v>29</v>
      </c>
      <c r="E791" t="s">
        <v>30</v>
      </c>
      <c r="F791" t="s">
        <v>2018</v>
      </c>
    </row>
    <row r="792" spans="1:6" x14ac:dyDescent="0.3">
      <c r="A792" t="str">
        <f>HYPERLINK("https://hsdes.intel.com/resource/14013167084","14013167084")</f>
        <v>14013167084</v>
      </c>
      <c r="B792" t="s">
        <v>2019</v>
      </c>
      <c r="C792" t="s">
        <v>2020</v>
      </c>
      <c r="D792" t="s">
        <v>29</v>
      </c>
      <c r="E792" t="s">
        <v>30</v>
      </c>
      <c r="F792" t="s">
        <v>2021</v>
      </c>
    </row>
    <row r="793" spans="1:6" x14ac:dyDescent="0.3">
      <c r="A793" t="str">
        <f>HYPERLINK("https://hsdes.intel.com/resource/14013167252","14013167252")</f>
        <v>14013167252</v>
      </c>
      <c r="B793" t="s">
        <v>2022</v>
      </c>
      <c r="C793" t="s">
        <v>2023</v>
      </c>
      <c r="D793" t="s">
        <v>29</v>
      </c>
      <c r="E793" t="s">
        <v>30</v>
      </c>
      <c r="F793" t="s">
        <v>2024</v>
      </c>
    </row>
    <row r="794" spans="1:6" x14ac:dyDescent="0.3">
      <c r="A794" t="str">
        <f>HYPERLINK("https://hsdes.intel.com/resource/14013167263","14013167263")</f>
        <v>14013167263</v>
      </c>
      <c r="B794" t="s">
        <v>2025</v>
      </c>
      <c r="C794" t="s">
        <v>2026</v>
      </c>
      <c r="D794" t="s">
        <v>29</v>
      </c>
      <c r="E794" t="s">
        <v>30</v>
      </c>
      <c r="F794" t="s">
        <v>2027</v>
      </c>
    </row>
    <row r="795" spans="1:6" x14ac:dyDescent="0.3">
      <c r="A795" t="str">
        <f>HYPERLINK("https://hsdes.intel.com/resource/14013167283","14013167283")</f>
        <v>14013167283</v>
      </c>
      <c r="B795" t="s">
        <v>2028</v>
      </c>
      <c r="C795" t="s">
        <v>2029</v>
      </c>
      <c r="D795" t="s">
        <v>29</v>
      </c>
      <c r="E795" t="s">
        <v>30</v>
      </c>
      <c r="F795" t="s">
        <v>2027</v>
      </c>
    </row>
    <row r="796" spans="1:6" x14ac:dyDescent="0.3">
      <c r="A796" t="str">
        <f>HYPERLINK("https://hsdes.intel.com/resource/14013167326","14013167326")</f>
        <v>14013167326</v>
      </c>
      <c r="B796" t="s">
        <v>2030</v>
      </c>
      <c r="C796" t="s">
        <v>2031</v>
      </c>
      <c r="D796" t="s">
        <v>29</v>
      </c>
      <c r="E796" t="s">
        <v>30</v>
      </c>
      <c r="F796" t="s">
        <v>2027</v>
      </c>
    </row>
    <row r="797" spans="1:6" x14ac:dyDescent="0.3">
      <c r="A797" t="str">
        <f>HYPERLINK("https://hsdes.intel.com/resource/14013167336","14013167336")</f>
        <v>14013167336</v>
      </c>
      <c r="B797" t="s">
        <v>2032</v>
      </c>
      <c r="C797" t="s">
        <v>2033</v>
      </c>
      <c r="D797" t="s">
        <v>29</v>
      </c>
      <c r="E797" t="s">
        <v>30</v>
      </c>
      <c r="F797" t="s">
        <v>2034</v>
      </c>
    </row>
    <row r="798" spans="1:6" x14ac:dyDescent="0.3">
      <c r="A798" t="str">
        <f>HYPERLINK("https://hsdes.intel.com/resource/14013167355","14013167355")</f>
        <v>14013167355</v>
      </c>
      <c r="B798" t="s">
        <v>2035</v>
      </c>
      <c r="C798" t="s">
        <v>2036</v>
      </c>
      <c r="D798" t="s">
        <v>29</v>
      </c>
      <c r="E798" t="s">
        <v>30</v>
      </c>
      <c r="F798" t="s">
        <v>2027</v>
      </c>
    </row>
    <row r="799" spans="1:6" x14ac:dyDescent="0.3">
      <c r="A799" t="str">
        <f>HYPERLINK("https://hsdes.intel.com/resource/14013167380","14013167380")</f>
        <v>14013167380</v>
      </c>
      <c r="B799" t="s">
        <v>2037</v>
      </c>
      <c r="C799" t="s">
        <v>2038</v>
      </c>
      <c r="D799" t="s">
        <v>29</v>
      </c>
      <c r="E799" t="s">
        <v>30</v>
      </c>
      <c r="F799" t="s">
        <v>2027</v>
      </c>
    </row>
    <row r="800" spans="1:6" x14ac:dyDescent="0.3">
      <c r="A800" t="str">
        <f>HYPERLINK("https://hsdes.intel.com/resource/14013167401","14013167401")</f>
        <v>14013167401</v>
      </c>
      <c r="B800" t="s">
        <v>2039</v>
      </c>
      <c r="C800" t="s">
        <v>2040</v>
      </c>
      <c r="D800" t="s">
        <v>29</v>
      </c>
      <c r="E800" t="s">
        <v>30</v>
      </c>
      <c r="F800" t="s">
        <v>2027</v>
      </c>
    </row>
    <row r="801" spans="1:6" x14ac:dyDescent="0.3">
      <c r="A801" t="str">
        <f>HYPERLINK("https://hsdes.intel.com/resource/14013167451","14013167451")</f>
        <v>14013167451</v>
      </c>
      <c r="B801" t="s">
        <v>2041</v>
      </c>
      <c r="C801" t="s">
        <v>2042</v>
      </c>
      <c r="D801" t="s">
        <v>29</v>
      </c>
      <c r="E801" t="s">
        <v>30</v>
      </c>
      <c r="F801" t="s">
        <v>2027</v>
      </c>
    </row>
    <row r="802" spans="1:6" x14ac:dyDescent="0.3">
      <c r="A802" t="str">
        <f>HYPERLINK("https://hsdes.intel.com/resource/14013167486","14013167486")</f>
        <v>14013167486</v>
      </c>
      <c r="B802" t="s">
        <v>2043</v>
      </c>
      <c r="C802" t="s">
        <v>2044</v>
      </c>
      <c r="D802" t="s">
        <v>29</v>
      </c>
      <c r="E802" t="s">
        <v>30</v>
      </c>
      <c r="F802" t="s">
        <v>2034</v>
      </c>
    </row>
    <row r="803" spans="1:6" x14ac:dyDescent="0.3">
      <c r="A803" t="str">
        <f>HYPERLINK("https://hsdes.intel.com/resource/14013167520","14013167520")</f>
        <v>14013167520</v>
      </c>
      <c r="B803" t="s">
        <v>2045</v>
      </c>
      <c r="C803" t="s">
        <v>2046</v>
      </c>
      <c r="D803" t="s">
        <v>29</v>
      </c>
      <c r="E803" t="s">
        <v>30</v>
      </c>
      <c r="F803" t="s">
        <v>2034</v>
      </c>
    </row>
    <row r="804" spans="1:6" x14ac:dyDescent="0.3">
      <c r="A804" t="str">
        <f>HYPERLINK("https://hsdes.intel.com/resource/14013167540","14013167540")</f>
        <v>14013167540</v>
      </c>
      <c r="B804" t="s">
        <v>2047</v>
      </c>
      <c r="C804" t="s">
        <v>2048</v>
      </c>
      <c r="D804" t="s">
        <v>29</v>
      </c>
      <c r="E804" t="s">
        <v>30</v>
      </c>
      <c r="F804" t="s">
        <v>2049</v>
      </c>
    </row>
    <row r="805" spans="1:6" x14ac:dyDescent="0.3">
      <c r="A805" t="str">
        <f>HYPERLINK("https://hsdes.intel.com/resource/14013167560","14013167560")</f>
        <v>14013167560</v>
      </c>
      <c r="B805" t="s">
        <v>2050</v>
      </c>
      <c r="C805" t="s">
        <v>2051</v>
      </c>
      <c r="D805" t="s">
        <v>29</v>
      </c>
      <c r="E805" t="s">
        <v>30</v>
      </c>
      <c r="F805" t="s">
        <v>2034</v>
      </c>
    </row>
    <row r="806" spans="1:6" x14ac:dyDescent="0.3">
      <c r="A806" t="str">
        <f>HYPERLINK("https://hsdes.intel.com/resource/14013167579","14013167579")</f>
        <v>14013167579</v>
      </c>
      <c r="B806" t="s">
        <v>2052</v>
      </c>
      <c r="C806" t="s">
        <v>2053</v>
      </c>
      <c r="D806" t="s">
        <v>29</v>
      </c>
      <c r="E806" t="s">
        <v>30</v>
      </c>
      <c r="F806" t="s">
        <v>2054</v>
      </c>
    </row>
    <row r="807" spans="1:6" x14ac:dyDescent="0.3">
      <c r="A807" t="str">
        <f>HYPERLINK("https://hsdes.intel.com/resource/14013167586","14013167586")</f>
        <v>14013167586</v>
      </c>
      <c r="B807" t="s">
        <v>2055</v>
      </c>
      <c r="C807" t="s">
        <v>2056</v>
      </c>
      <c r="D807" t="s">
        <v>29</v>
      </c>
      <c r="E807" t="s">
        <v>80</v>
      </c>
      <c r="F807" t="s">
        <v>2057</v>
      </c>
    </row>
    <row r="808" spans="1:6" x14ac:dyDescent="0.3">
      <c r="A808" t="str">
        <f>HYPERLINK("https://hsdes.intel.com/resource/14013167606","14013167606")</f>
        <v>14013167606</v>
      </c>
      <c r="B808" t="s">
        <v>2058</v>
      </c>
      <c r="C808" t="s">
        <v>2059</v>
      </c>
      <c r="D808" t="s">
        <v>29</v>
      </c>
      <c r="E808" t="s">
        <v>30</v>
      </c>
      <c r="F808" t="s">
        <v>1926</v>
      </c>
    </row>
    <row r="809" spans="1:6" x14ac:dyDescent="0.3">
      <c r="A809" t="str">
        <f>HYPERLINK("https://hsdes.intel.com/resource/14013168340","14013168340")</f>
        <v>14013168340</v>
      </c>
      <c r="B809" t="s">
        <v>2060</v>
      </c>
      <c r="C809" t="s">
        <v>2061</v>
      </c>
      <c r="D809" t="s">
        <v>17</v>
      </c>
      <c r="E809" t="s">
        <v>2062</v>
      </c>
      <c r="F809" t="s">
        <v>157</v>
      </c>
    </row>
    <row r="810" spans="1:6" x14ac:dyDescent="0.3">
      <c r="A810" t="str">
        <f>HYPERLINK("https://hsdes.intel.com/resource/14013168467","14013168467")</f>
        <v>14013168467</v>
      </c>
      <c r="B810" t="s">
        <v>2063</v>
      </c>
      <c r="C810" t="s">
        <v>2064</v>
      </c>
      <c r="D810" t="s">
        <v>67</v>
      </c>
      <c r="E810" t="s">
        <v>179</v>
      </c>
      <c r="F810" t="s">
        <v>2065</v>
      </c>
    </row>
    <row r="811" spans="1:6" x14ac:dyDescent="0.3">
      <c r="A811" t="str">
        <f>HYPERLINK("https://hsdes.intel.com/resource/14013168655","14013168655")</f>
        <v>14013168655</v>
      </c>
      <c r="B811" t="s">
        <v>2066</v>
      </c>
      <c r="C811" t="s">
        <v>2067</v>
      </c>
      <c r="D811" t="s">
        <v>67</v>
      </c>
      <c r="E811" t="s">
        <v>2062</v>
      </c>
      <c r="F811" t="s">
        <v>2068</v>
      </c>
    </row>
    <row r="812" spans="1:6" x14ac:dyDescent="0.3">
      <c r="A812" t="str">
        <f>HYPERLINK("https://hsdes.intel.com/resource/14013168785","14013168785")</f>
        <v>14013168785</v>
      </c>
      <c r="B812" t="s">
        <v>2069</v>
      </c>
      <c r="C812" t="s">
        <v>2070</v>
      </c>
      <c r="D812" t="s">
        <v>67</v>
      </c>
      <c r="E812" t="s">
        <v>179</v>
      </c>
      <c r="F812" t="s">
        <v>1388</v>
      </c>
    </row>
    <row r="813" spans="1:6" x14ac:dyDescent="0.3">
      <c r="A813" t="str">
        <f>HYPERLINK("https://hsdes.intel.com/resource/14013168804","14013168804")</f>
        <v>14013168804</v>
      </c>
      <c r="B813" t="s">
        <v>2071</v>
      </c>
      <c r="C813" t="s">
        <v>2072</v>
      </c>
      <c r="D813" t="s">
        <v>67</v>
      </c>
      <c r="E813" t="s">
        <v>179</v>
      </c>
      <c r="F813" t="s">
        <v>2073</v>
      </c>
    </row>
    <row r="814" spans="1:6" x14ac:dyDescent="0.3">
      <c r="A814" t="str">
        <f>HYPERLINK("https://hsdes.intel.com/resource/14013168849","14013168849")</f>
        <v>14013168849</v>
      </c>
      <c r="B814" t="s">
        <v>2074</v>
      </c>
      <c r="C814" t="s">
        <v>2075</v>
      </c>
      <c r="D814" t="s">
        <v>67</v>
      </c>
      <c r="E814" t="s">
        <v>179</v>
      </c>
      <c r="F814" t="s">
        <v>186</v>
      </c>
    </row>
    <row r="815" spans="1:6" x14ac:dyDescent="0.3">
      <c r="A815" t="str">
        <f>HYPERLINK("https://hsdes.intel.com/resource/14013168857","14013168857")</f>
        <v>14013168857</v>
      </c>
      <c r="B815" t="s">
        <v>2076</v>
      </c>
      <c r="C815" t="s">
        <v>2077</v>
      </c>
      <c r="D815" t="s">
        <v>67</v>
      </c>
      <c r="E815" t="s">
        <v>179</v>
      </c>
      <c r="F815" t="s">
        <v>2078</v>
      </c>
    </row>
    <row r="816" spans="1:6" x14ac:dyDescent="0.3">
      <c r="A816" t="str">
        <f>HYPERLINK("https://hsdes.intel.com/resource/14013168950","14013168950")</f>
        <v>14013168950</v>
      </c>
      <c r="B816" t="s">
        <v>2079</v>
      </c>
      <c r="C816" t="s">
        <v>2080</v>
      </c>
      <c r="D816" t="s">
        <v>67</v>
      </c>
      <c r="E816" t="s">
        <v>179</v>
      </c>
      <c r="F816" t="s">
        <v>1807</v>
      </c>
    </row>
    <row r="817" spans="1:6" x14ac:dyDescent="0.3">
      <c r="A817" t="str">
        <f>HYPERLINK("https://hsdes.intel.com/resource/14013168995","14013168995")</f>
        <v>14013168995</v>
      </c>
      <c r="B817" t="s">
        <v>2081</v>
      </c>
      <c r="C817" t="s">
        <v>2082</v>
      </c>
      <c r="D817" t="s">
        <v>67</v>
      </c>
      <c r="E817" t="s">
        <v>2062</v>
      </c>
      <c r="F817" t="s">
        <v>294</v>
      </c>
    </row>
    <row r="818" spans="1:6" x14ac:dyDescent="0.3">
      <c r="A818" t="str">
        <f>HYPERLINK("https://hsdes.intel.com/resource/14013169014","14013169014")</f>
        <v>14013169014</v>
      </c>
      <c r="B818" t="s">
        <v>2083</v>
      </c>
      <c r="C818" t="s">
        <v>2084</v>
      </c>
      <c r="D818" t="s">
        <v>67</v>
      </c>
      <c r="E818" t="s">
        <v>179</v>
      </c>
      <c r="F818" t="s">
        <v>2085</v>
      </c>
    </row>
    <row r="819" spans="1:6" x14ac:dyDescent="0.3">
      <c r="A819" t="str">
        <f>HYPERLINK("https://hsdes.intel.com/resource/14013169069","14013169069")</f>
        <v>14013169069</v>
      </c>
      <c r="B819" t="s">
        <v>2086</v>
      </c>
      <c r="C819" t="s">
        <v>2087</v>
      </c>
      <c r="D819" t="s">
        <v>67</v>
      </c>
      <c r="E819" t="s">
        <v>179</v>
      </c>
      <c r="F819" t="s">
        <v>2088</v>
      </c>
    </row>
    <row r="820" spans="1:6" x14ac:dyDescent="0.3">
      <c r="A820" t="str">
        <f>HYPERLINK("https://hsdes.intel.com/resource/14013172845","14013172845")</f>
        <v>14013172845</v>
      </c>
      <c r="B820" t="s">
        <v>2089</v>
      </c>
      <c r="C820" t="s">
        <v>2090</v>
      </c>
      <c r="D820" t="s">
        <v>17</v>
      </c>
      <c r="E820" t="s">
        <v>694</v>
      </c>
      <c r="F820" t="s">
        <v>2091</v>
      </c>
    </row>
    <row r="821" spans="1:6" x14ac:dyDescent="0.3">
      <c r="A821" t="str">
        <f>HYPERLINK("https://hsdes.intel.com/resource/14013172847","14013172847")</f>
        <v>14013172847</v>
      </c>
      <c r="B821" t="s">
        <v>2092</v>
      </c>
      <c r="C821" t="s">
        <v>2093</v>
      </c>
      <c r="D821" t="s">
        <v>17</v>
      </c>
      <c r="E821" t="s">
        <v>30</v>
      </c>
      <c r="F821" t="s">
        <v>111</v>
      </c>
    </row>
    <row r="822" spans="1:6" x14ac:dyDescent="0.3">
      <c r="A822" t="str">
        <f>HYPERLINK("https://hsdes.intel.com/resource/14013172891","14013172891")</f>
        <v>14013172891</v>
      </c>
      <c r="B822" t="s">
        <v>2094</v>
      </c>
      <c r="C822" t="s">
        <v>2095</v>
      </c>
      <c r="D822" t="s">
        <v>6</v>
      </c>
      <c r="E822" t="s">
        <v>63</v>
      </c>
      <c r="F822" t="s">
        <v>2096</v>
      </c>
    </row>
    <row r="823" spans="1:6" x14ac:dyDescent="0.3">
      <c r="A823" t="str">
        <f>HYPERLINK("https://hsdes.intel.com/resource/14013172897","14013172897")</f>
        <v>14013172897</v>
      </c>
      <c r="B823" t="s">
        <v>2097</v>
      </c>
      <c r="C823" t="s">
        <v>2098</v>
      </c>
      <c r="D823" t="s">
        <v>6</v>
      </c>
      <c r="E823" t="s">
        <v>63</v>
      </c>
      <c r="F823" t="s">
        <v>2096</v>
      </c>
    </row>
    <row r="824" spans="1:6" x14ac:dyDescent="0.3">
      <c r="A824" t="str">
        <f>HYPERLINK("https://hsdes.intel.com/resource/14013172919","14013172919")</f>
        <v>14013172919</v>
      </c>
      <c r="B824" t="s">
        <v>2099</v>
      </c>
      <c r="C824" t="s">
        <v>2100</v>
      </c>
      <c r="D824" t="s">
        <v>6</v>
      </c>
      <c r="E824" t="s">
        <v>7</v>
      </c>
      <c r="F824" t="s">
        <v>2101</v>
      </c>
    </row>
    <row r="825" spans="1:6" x14ac:dyDescent="0.3">
      <c r="A825" t="str">
        <f>HYPERLINK("https://hsdes.intel.com/resource/14013172927","14013172927")</f>
        <v>14013172927</v>
      </c>
      <c r="B825" t="s">
        <v>2102</v>
      </c>
      <c r="C825" t="s">
        <v>2103</v>
      </c>
      <c r="D825" t="s">
        <v>6</v>
      </c>
      <c r="E825" t="s">
        <v>212</v>
      </c>
      <c r="F825" t="s">
        <v>213</v>
      </c>
    </row>
    <row r="826" spans="1:6" x14ac:dyDescent="0.3">
      <c r="A826" t="str">
        <f>HYPERLINK("https://hsdes.intel.com/resource/14013172936","14013172936")</f>
        <v>14013172936</v>
      </c>
      <c r="B826" t="s">
        <v>2104</v>
      </c>
      <c r="C826" t="s">
        <v>2105</v>
      </c>
      <c r="D826" t="s">
        <v>6</v>
      </c>
      <c r="E826" t="s">
        <v>212</v>
      </c>
      <c r="F826" t="s">
        <v>2106</v>
      </c>
    </row>
    <row r="827" spans="1:6" x14ac:dyDescent="0.3">
      <c r="A827" t="str">
        <f>HYPERLINK("https://hsdes.intel.com/resource/14013172944","14013172944")</f>
        <v>14013172944</v>
      </c>
      <c r="B827" t="s">
        <v>2107</v>
      </c>
      <c r="C827" t="s">
        <v>2108</v>
      </c>
      <c r="D827" t="s">
        <v>6</v>
      </c>
      <c r="E827" t="s">
        <v>2109</v>
      </c>
      <c r="F827" t="s">
        <v>2110</v>
      </c>
    </row>
    <row r="828" spans="1:6" x14ac:dyDescent="0.3">
      <c r="A828" t="str">
        <f>HYPERLINK("https://hsdes.intel.com/resource/14013173003","14013173003")</f>
        <v>14013173003</v>
      </c>
      <c r="B828" t="s">
        <v>2111</v>
      </c>
      <c r="C828" t="s">
        <v>2112</v>
      </c>
      <c r="D828" t="s">
        <v>6</v>
      </c>
      <c r="E828" t="s">
        <v>7</v>
      </c>
      <c r="F828" t="s">
        <v>222</v>
      </c>
    </row>
    <row r="829" spans="1:6" x14ac:dyDescent="0.3">
      <c r="A829" t="str">
        <f>HYPERLINK("https://hsdes.intel.com/resource/14013173005","14013173005")</f>
        <v>14013173005</v>
      </c>
      <c r="B829" t="s">
        <v>2113</v>
      </c>
      <c r="C829" t="s">
        <v>2114</v>
      </c>
      <c r="D829" t="s">
        <v>6</v>
      </c>
      <c r="E829" t="s">
        <v>7</v>
      </c>
      <c r="F829" t="s">
        <v>222</v>
      </c>
    </row>
    <row r="830" spans="1:6" x14ac:dyDescent="0.3">
      <c r="A830" t="str">
        <f>HYPERLINK("https://hsdes.intel.com/resource/14013173013","14013173013")</f>
        <v>14013173013</v>
      </c>
      <c r="B830" t="s">
        <v>2115</v>
      </c>
      <c r="C830" t="s">
        <v>2116</v>
      </c>
      <c r="D830" t="s">
        <v>6</v>
      </c>
      <c r="E830" t="s">
        <v>2117</v>
      </c>
      <c r="F830" t="s">
        <v>2118</v>
      </c>
    </row>
    <row r="831" spans="1:6" x14ac:dyDescent="0.3">
      <c r="A831" t="str">
        <f>HYPERLINK("https://hsdes.intel.com/resource/14013173050","14013173050")</f>
        <v>14013173050</v>
      </c>
      <c r="B831" t="s">
        <v>2119</v>
      </c>
      <c r="C831" t="s">
        <v>2120</v>
      </c>
      <c r="D831" t="s">
        <v>6</v>
      </c>
      <c r="E831" t="s">
        <v>228</v>
      </c>
      <c r="F831" t="s">
        <v>2121</v>
      </c>
    </row>
    <row r="832" spans="1:6" x14ac:dyDescent="0.3">
      <c r="A832" t="str">
        <f>HYPERLINK("https://hsdes.intel.com/resource/14013173086","14013173086")</f>
        <v>14013173086</v>
      </c>
      <c r="B832" t="s">
        <v>2122</v>
      </c>
      <c r="C832" t="s">
        <v>2123</v>
      </c>
      <c r="D832" t="s">
        <v>6</v>
      </c>
      <c r="E832" t="s">
        <v>228</v>
      </c>
      <c r="F832" t="s">
        <v>2110</v>
      </c>
    </row>
    <row r="833" spans="1:6" x14ac:dyDescent="0.3">
      <c r="A833" t="str">
        <f>HYPERLINK("https://hsdes.intel.com/resource/14013173089","14013173089")</f>
        <v>14013173089</v>
      </c>
      <c r="B833" t="s">
        <v>2124</v>
      </c>
      <c r="C833" t="s">
        <v>2125</v>
      </c>
      <c r="D833" t="s">
        <v>6</v>
      </c>
      <c r="E833" t="s">
        <v>63</v>
      </c>
      <c r="F833" t="s">
        <v>2126</v>
      </c>
    </row>
    <row r="834" spans="1:6" x14ac:dyDescent="0.3">
      <c r="A834" t="str">
        <f>HYPERLINK("https://hsdes.intel.com/resource/14013173102","14013173102")</f>
        <v>14013173102</v>
      </c>
      <c r="B834" t="s">
        <v>2127</v>
      </c>
      <c r="C834" t="s">
        <v>2128</v>
      </c>
      <c r="D834" t="s">
        <v>22</v>
      </c>
      <c r="E834" t="s">
        <v>18</v>
      </c>
      <c r="F834" t="s">
        <v>443</v>
      </c>
    </row>
    <row r="835" spans="1:6" x14ac:dyDescent="0.3">
      <c r="A835" t="str">
        <f>HYPERLINK("https://hsdes.intel.com/resource/14013173153","14013173153")</f>
        <v>14013173153</v>
      </c>
      <c r="B835" t="s">
        <v>2129</v>
      </c>
      <c r="C835" t="s">
        <v>2130</v>
      </c>
      <c r="D835" t="s">
        <v>17</v>
      </c>
      <c r="E835" t="s">
        <v>30</v>
      </c>
      <c r="F835" t="s">
        <v>127</v>
      </c>
    </row>
    <row r="836" spans="1:6" x14ac:dyDescent="0.3">
      <c r="A836" t="str">
        <f>HYPERLINK("https://hsdes.intel.com/resource/14013173157","14013173157")</f>
        <v>14013173157</v>
      </c>
      <c r="B836" t="s">
        <v>2131</v>
      </c>
      <c r="C836" t="s">
        <v>2132</v>
      </c>
      <c r="D836" t="s">
        <v>22</v>
      </c>
      <c r="E836" t="s">
        <v>2133</v>
      </c>
      <c r="F836" t="s">
        <v>2134</v>
      </c>
    </row>
    <row r="837" spans="1:6" x14ac:dyDescent="0.3">
      <c r="A837" t="str">
        <f>HYPERLINK("https://hsdes.intel.com/resource/14013173168","14013173168")</f>
        <v>14013173168</v>
      </c>
      <c r="B837" t="s">
        <v>2135</v>
      </c>
      <c r="C837" t="s">
        <v>2136</v>
      </c>
      <c r="D837" t="s">
        <v>6</v>
      </c>
      <c r="E837" t="s">
        <v>30</v>
      </c>
      <c r="F837" t="s">
        <v>1477</v>
      </c>
    </row>
    <row r="838" spans="1:6" x14ac:dyDescent="0.3">
      <c r="A838" t="str">
        <f>HYPERLINK("https://hsdes.intel.com/resource/14013173170","14013173170")</f>
        <v>14013173170</v>
      </c>
      <c r="B838" t="s">
        <v>2137</v>
      </c>
      <c r="C838" t="s">
        <v>2138</v>
      </c>
      <c r="D838" t="s">
        <v>6</v>
      </c>
      <c r="E838" t="s">
        <v>63</v>
      </c>
      <c r="F838" t="s">
        <v>763</v>
      </c>
    </row>
    <row r="839" spans="1:6" x14ac:dyDescent="0.3">
      <c r="A839" t="str">
        <f>HYPERLINK("https://hsdes.intel.com/resource/14013173171","14013173171")</f>
        <v>14013173171</v>
      </c>
      <c r="B839" t="s">
        <v>2139</v>
      </c>
      <c r="C839" t="s">
        <v>2140</v>
      </c>
      <c r="D839" t="s">
        <v>6</v>
      </c>
      <c r="E839" t="s">
        <v>63</v>
      </c>
      <c r="F839" t="s">
        <v>763</v>
      </c>
    </row>
    <row r="840" spans="1:6" x14ac:dyDescent="0.3">
      <c r="A840" t="str">
        <f>HYPERLINK("https://hsdes.intel.com/resource/14013173207","14013173207")</f>
        <v>14013173207</v>
      </c>
      <c r="B840" t="s">
        <v>2141</v>
      </c>
      <c r="C840" t="s">
        <v>2142</v>
      </c>
      <c r="D840" t="s">
        <v>22</v>
      </c>
      <c r="E840" t="s">
        <v>114</v>
      </c>
      <c r="F840" t="s">
        <v>2143</v>
      </c>
    </row>
    <row r="841" spans="1:6" x14ac:dyDescent="0.3">
      <c r="A841" t="str">
        <f>HYPERLINK("https://hsdes.intel.com/resource/14013173233","14013173233")</f>
        <v>14013173233</v>
      </c>
      <c r="B841" t="s">
        <v>2144</v>
      </c>
      <c r="C841" t="s">
        <v>2145</v>
      </c>
      <c r="D841" t="s">
        <v>6</v>
      </c>
      <c r="E841" t="s">
        <v>30</v>
      </c>
      <c r="F841" t="s">
        <v>2146</v>
      </c>
    </row>
    <row r="842" spans="1:6" x14ac:dyDescent="0.3">
      <c r="A842" t="str">
        <f>HYPERLINK("https://hsdes.intel.com/resource/14013173241","14013173241")</f>
        <v>14013173241</v>
      </c>
      <c r="B842" t="s">
        <v>2147</v>
      </c>
      <c r="C842" t="s">
        <v>2148</v>
      </c>
      <c r="D842" t="s">
        <v>6</v>
      </c>
      <c r="E842" t="s">
        <v>30</v>
      </c>
      <c r="F842" t="s">
        <v>2149</v>
      </c>
    </row>
    <row r="843" spans="1:6" x14ac:dyDescent="0.3">
      <c r="A843" t="str">
        <f>HYPERLINK("https://hsdes.intel.com/resource/14013173261","14013173261")</f>
        <v>14013173261</v>
      </c>
      <c r="B843" t="s">
        <v>2150</v>
      </c>
      <c r="C843" t="s">
        <v>2151</v>
      </c>
      <c r="D843" t="s">
        <v>98</v>
      </c>
      <c r="E843" t="s">
        <v>2152</v>
      </c>
      <c r="F843" t="s">
        <v>8</v>
      </c>
    </row>
    <row r="844" spans="1:6" x14ac:dyDescent="0.3">
      <c r="A844" t="str">
        <f>HYPERLINK("https://hsdes.intel.com/resource/14013173264","14013173264")</f>
        <v>14013173264</v>
      </c>
      <c r="B844" t="s">
        <v>2153</v>
      </c>
      <c r="C844" t="s">
        <v>2154</v>
      </c>
      <c r="D844" t="s">
        <v>98</v>
      </c>
      <c r="E844" t="s">
        <v>2155</v>
      </c>
      <c r="F844" t="s">
        <v>2156</v>
      </c>
    </row>
    <row r="845" spans="1:6" x14ac:dyDescent="0.3">
      <c r="A845" t="str">
        <f>HYPERLINK("https://hsdes.intel.com/resource/14013173272","14013173272")</f>
        <v>14013173272</v>
      </c>
      <c r="B845" t="s">
        <v>2157</v>
      </c>
      <c r="C845" t="s">
        <v>2158</v>
      </c>
      <c r="D845" t="s">
        <v>98</v>
      </c>
      <c r="E845" t="s">
        <v>2159</v>
      </c>
      <c r="F845" t="s">
        <v>8</v>
      </c>
    </row>
    <row r="846" spans="1:6" x14ac:dyDescent="0.3">
      <c r="A846" t="str">
        <f>HYPERLINK("https://hsdes.intel.com/resource/14013173276","14013173276")</f>
        <v>14013173276</v>
      </c>
      <c r="B846" t="s">
        <v>2160</v>
      </c>
      <c r="C846" t="s">
        <v>2161</v>
      </c>
      <c r="D846" t="s">
        <v>98</v>
      </c>
      <c r="E846" t="s">
        <v>2152</v>
      </c>
      <c r="F846" t="s">
        <v>8</v>
      </c>
    </row>
    <row r="847" spans="1:6" x14ac:dyDescent="0.3">
      <c r="A847" t="str">
        <f>HYPERLINK("https://hsdes.intel.com/resource/14013173292","14013173292")</f>
        <v>14013173292</v>
      </c>
      <c r="B847" t="s">
        <v>2162</v>
      </c>
      <c r="C847" t="s">
        <v>2163</v>
      </c>
      <c r="D847" t="s">
        <v>98</v>
      </c>
      <c r="E847" t="s">
        <v>2164</v>
      </c>
      <c r="F847" t="s">
        <v>1593</v>
      </c>
    </row>
    <row r="848" spans="1:6" x14ac:dyDescent="0.3">
      <c r="A848" t="str">
        <f>HYPERLINK("https://hsdes.intel.com/resource/14013173298","14013173298")</f>
        <v>14013173298</v>
      </c>
      <c r="B848" t="s">
        <v>2165</v>
      </c>
      <c r="C848" t="s">
        <v>2166</v>
      </c>
      <c r="D848" t="s">
        <v>98</v>
      </c>
      <c r="E848" t="s">
        <v>2167</v>
      </c>
      <c r="F848" t="s">
        <v>2168</v>
      </c>
    </row>
    <row r="849" spans="1:6" x14ac:dyDescent="0.3">
      <c r="A849" t="str">
        <f>HYPERLINK("https://hsdes.intel.com/resource/14013173302","14013173302")</f>
        <v>14013173302</v>
      </c>
      <c r="B849" t="s">
        <v>2169</v>
      </c>
      <c r="C849" t="s">
        <v>2170</v>
      </c>
      <c r="D849" t="s">
        <v>98</v>
      </c>
      <c r="E849" t="s">
        <v>2164</v>
      </c>
      <c r="F849" t="s">
        <v>2171</v>
      </c>
    </row>
    <row r="850" spans="1:6" x14ac:dyDescent="0.3">
      <c r="A850" t="str">
        <f>HYPERLINK("https://hsdes.intel.com/resource/14013173314","14013173314")</f>
        <v>14013173314</v>
      </c>
      <c r="B850" t="s">
        <v>2172</v>
      </c>
      <c r="C850" t="s">
        <v>2173</v>
      </c>
      <c r="D850" t="s">
        <v>98</v>
      </c>
      <c r="E850" t="s">
        <v>2164</v>
      </c>
      <c r="F850" t="s">
        <v>2171</v>
      </c>
    </row>
    <row r="851" spans="1:6" x14ac:dyDescent="0.3">
      <c r="A851" t="str">
        <f>HYPERLINK("https://hsdes.intel.com/resource/14013173321","14013173321")</f>
        <v>14013173321</v>
      </c>
      <c r="B851" t="s">
        <v>2174</v>
      </c>
      <c r="C851" t="s">
        <v>2175</v>
      </c>
      <c r="D851" t="s">
        <v>98</v>
      </c>
      <c r="E851" t="s">
        <v>2164</v>
      </c>
      <c r="F851" t="s">
        <v>2171</v>
      </c>
    </row>
    <row r="852" spans="1:6" x14ac:dyDescent="0.3">
      <c r="A852" t="str">
        <f>HYPERLINK("https://hsdes.intel.com/resource/14013173337","14013173337")</f>
        <v>14013173337</v>
      </c>
      <c r="B852" t="s">
        <v>2176</v>
      </c>
      <c r="C852" t="s">
        <v>2177</v>
      </c>
      <c r="D852" t="s">
        <v>29</v>
      </c>
      <c r="E852" t="s">
        <v>232</v>
      </c>
      <c r="F852" t="s">
        <v>2178</v>
      </c>
    </row>
    <row r="853" spans="1:6" x14ac:dyDescent="0.3">
      <c r="A853" t="str">
        <f>HYPERLINK("https://hsdes.intel.com/resource/14013173356","14013173356")</f>
        <v>14013173356</v>
      </c>
      <c r="B853" t="s">
        <v>2179</v>
      </c>
      <c r="C853" t="s">
        <v>2180</v>
      </c>
      <c r="D853" t="s">
        <v>98</v>
      </c>
      <c r="E853" t="s">
        <v>2164</v>
      </c>
      <c r="F853" t="s">
        <v>2181</v>
      </c>
    </row>
    <row r="854" spans="1:6" x14ac:dyDescent="0.3">
      <c r="A854" t="str">
        <f>HYPERLINK("https://hsdes.intel.com/resource/14013173941","14013173941")</f>
        <v>14013173941</v>
      </c>
      <c r="B854" t="s">
        <v>2182</v>
      </c>
      <c r="C854" t="s">
        <v>2183</v>
      </c>
      <c r="D854" t="s">
        <v>62</v>
      </c>
      <c r="E854" t="s">
        <v>172</v>
      </c>
      <c r="F854" t="s">
        <v>2184</v>
      </c>
    </row>
    <row r="855" spans="1:6" x14ac:dyDescent="0.3">
      <c r="A855" t="str">
        <f>HYPERLINK("https://hsdes.intel.com/resource/14013173943","14013173943")</f>
        <v>14013173943</v>
      </c>
      <c r="B855" t="s">
        <v>2185</v>
      </c>
      <c r="C855" t="s">
        <v>2186</v>
      </c>
      <c r="D855" t="s">
        <v>62</v>
      </c>
      <c r="E855" t="s">
        <v>30</v>
      </c>
      <c r="F855" t="s">
        <v>629</v>
      </c>
    </row>
    <row r="856" spans="1:6" x14ac:dyDescent="0.3">
      <c r="A856" t="str">
        <f>HYPERLINK("https://hsdes.intel.com/resource/14013173950","14013173950")</f>
        <v>14013173950</v>
      </c>
      <c r="B856" t="s">
        <v>2187</v>
      </c>
      <c r="C856" t="s">
        <v>2188</v>
      </c>
      <c r="D856" t="s">
        <v>62</v>
      </c>
      <c r="E856" t="s">
        <v>30</v>
      </c>
      <c r="F856" t="s">
        <v>2189</v>
      </c>
    </row>
    <row r="857" spans="1:6" x14ac:dyDescent="0.3">
      <c r="A857" t="str">
        <f>HYPERLINK("https://hsdes.intel.com/resource/14013173954","14013173954")</f>
        <v>14013173954</v>
      </c>
      <c r="B857" t="s">
        <v>2190</v>
      </c>
      <c r="C857" t="s">
        <v>2191</v>
      </c>
      <c r="D857" t="s">
        <v>62</v>
      </c>
      <c r="E857" t="s">
        <v>2192</v>
      </c>
      <c r="F857" t="s">
        <v>2193</v>
      </c>
    </row>
    <row r="858" spans="1:6" x14ac:dyDescent="0.3">
      <c r="A858" t="str">
        <f>HYPERLINK("https://hsdes.intel.com/resource/14013173956","14013173956")</f>
        <v>14013173956</v>
      </c>
      <c r="B858" t="s">
        <v>2194</v>
      </c>
      <c r="C858" t="s">
        <v>2195</v>
      </c>
      <c r="D858" t="s">
        <v>62</v>
      </c>
      <c r="E858" t="s">
        <v>172</v>
      </c>
      <c r="F858" t="s">
        <v>157</v>
      </c>
    </row>
    <row r="859" spans="1:6" x14ac:dyDescent="0.3">
      <c r="A859" t="str">
        <f>HYPERLINK("https://hsdes.intel.com/resource/14013173962","14013173962")</f>
        <v>14013173962</v>
      </c>
      <c r="B859" t="s">
        <v>2196</v>
      </c>
      <c r="C859" t="s">
        <v>2197</v>
      </c>
      <c r="D859" t="s">
        <v>62</v>
      </c>
      <c r="E859" t="s">
        <v>172</v>
      </c>
      <c r="F859" t="s">
        <v>2198</v>
      </c>
    </row>
    <row r="860" spans="1:6" x14ac:dyDescent="0.3">
      <c r="A860" t="str">
        <f>HYPERLINK("https://hsdes.intel.com/resource/14013173972","14013173972")</f>
        <v>14013173972</v>
      </c>
      <c r="B860" t="s">
        <v>2199</v>
      </c>
      <c r="C860" t="s">
        <v>2200</v>
      </c>
      <c r="D860" t="s">
        <v>62</v>
      </c>
      <c r="E860" t="s">
        <v>30</v>
      </c>
      <c r="F860" t="s">
        <v>2189</v>
      </c>
    </row>
    <row r="861" spans="1:6" x14ac:dyDescent="0.3">
      <c r="A861" t="str">
        <f>HYPERLINK("https://hsdes.intel.com/resource/14013173981","14013173981")</f>
        <v>14013173981</v>
      </c>
      <c r="B861" t="s">
        <v>2201</v>
      </c>
      <c r="C861" t="s">
        <v>2202</v>
      </c>
      <c r="D861" t="s">
        <v>62</v>
      </c>
      <c r="E861" t="s">
        <v>7</v>
      </c>
      <c r="F861" t="s">
        <v>2203</v>
      </c>
    </row>
    <row r="862" spans="1:6" x14ac:dyDescent="0.3">
      <c r="A862" t="str">
        <f>HYPERLINK("https://hsdes.intel.com/resource/14013173986","14013173986")</f>
        <v>14013173986</v>
      </c>
      <c r="B862" t="s">
        <v>2204</v>
      </c>
      <c r="C862" t="s">
        <v>2205</v>
      </c>
      <c r="D862" t="s">
        <v>62</v>
      </c>
      <c r="E862" t="s">
        <v>30</v>
      </c>
      <c r="F862" t="s">
        <v>2206</v>
      </c>
    </row>
    <row r="863" spans="1:6" x14ac:dyDescent="0.3">
      <c r="A863" t="str">
        <f>HYPERLINK("https://hsdes.intel.com/resource/14013174002","14013174002")</f>
        <v>14013174002</v>
      </c>
      <c r="B863" t="s">
        <v>2207</v>
      </c>
      <c r="C863" t="s">
        <v>2208</v>
      </c>
      <c r="D863" t="s">
        <v>62</v>
      </c>
      <c r="E863" t="s">
        <v>30</v>
      </c>
      <c r="F863" t="s">
        <v>2209</v>
      </c>
    </row>
    <row r="864" spans="1:6" x14ac:dyDescent="0.3">
      <c r="A864" t="str">
        <f>HYPERLINK("https://hsdes.intel.com/resource/14013174004","14013174004")</f>
        <v>14013174004</v>
      </c>
      <c r="B864" t="s">
        <v>2210</v>
      </c>
      <c r="C864" t="s">
        <v>2211</v>
      </c>
      <c r="D864" t="s">
        <v>62</v>
      </c>
      <c r="E864" t="s">
        <v>63</v>
      </c>
      <c r="F864" t="s">
        <v>2212</v>
      </c>
    </row>
    <row r="865" spans="1:6" x14ac:dyDescent="0.3">
      <c r="A865" t="str">
        <f>HYPERLINK("https://hsdes.intel.com/resource/14013174007","14013174007")</f>
        <v>14013174007</v>
      </c>
      <c r="B865" t="s">
        <v>2213</v>
      </c>
      <c r="C865" t="s">
        <v>2214</v>
      </c>
      <c r="D865" t="s">
        <v>62</v>
      </c>
      <c r="E865" t="s">
        <v>89</v>
      </c>
      <c r="F865" t="s">
        <v>2215</v>
      </c>
    </row>
    <row r="866" spans="1:6" x14ac:dyDescent="0.3">
      <c r="A866" t="str">
        <f>HYPERLINK("https://hsdes.intel.com/resource/14013174027","14013174027")</f>
        <v>14013174027</v>
      </c>
      <c r="B866" t="s">
        <v>2216</v>
      </c>
      <c r="C866" t="s">
        <v>2217</v>
      </c>
      <c r="D866" t="s">
        <v>62</v>
      </c>
      <c r="E866" t="s">
        <v>30</v>
      </c>
      <c r="F866" t="s">
        <v>2218</v>
      </c>
    </row>
    <row r="867" spans="1:6" x14ac:dyDescent="0.3">
      <c r="A867" t="str">
        <f>HYPERLINK("https://hsdes.intel.com/resource/14013174046","14013174046")</f>
        <v>14013174046</v>
      </c>
      <c r="B867" t="s">
        <v>2219</v>
      </c>
      <c r="C867" t="s">
        <v>2220</v>
      </c>
      <c r="D867" t="s">
        <v>62</v>
      </c>
      <c r="E867" t="s">
        <v>30</v>
      </c>
      <c r="F867" t="s">
        <v>2221</v>
      </c>
    </row>
    <row r="868" spans="1:6" x14ac:dyDescent="0.3">
      <c r="A868" t="str">
        <f>HYPERLINK("https://hsdes.intel.com/resource/14013174084","14013174084")</f>
        <v>14013174084</v>
      </c>
      <c r="B868" t="s">
        <v>2222</v>
      </c>
      <c r="C868" t="s">
        <v>2223</v>
      </c>
      <c r="D868" t="s">
        <v>62</v>
      </c>
      <c r="E868" t="s">
        <v>30</v>
      </c>
      <c r="F868" t="s">
        <v>2224</v>
      </c>
    </row>
    <row r="869" spans="1:6" x14ac:dyDescent="0.3">
      <c r="A869" t="str">
        <f>HYPERLINK("https://hsdes.intel.com/resource/14013174087","14013174087")</f>
        <v>14013174087</v>
      </c>
      <c r="B869" t="s">
        <v>2225</v>
      </c>
      <c r="C869" t="s">
        <v>2226</v>
      </c>
      <c r="D869" t="s">
        <v>62</v>
      </c>
      <c r="E869" t="s">
        <v>172</v>
      </c>
      <c r="F869" t="s">
        <v>157</v>
      </c>
    </row>
    <row r="870" spans="1:6" x14ac:dyDescent="0.3">
      <c r="A870" t="str">
        <f>HYPERLINK("https://hsdes.intel.com/resource/14013174091","14013174091")</f>
        <v>14013174091</v>
      </c>
      <c r="B870" t="s">
        <v>2227</v>
      </c>
      <c r="C870" t="s">
        <v>2228</v>
      </c>
      <c r="D870" t="s">
        <v>62</v>
      </c>
      <c r="E870" t="s">
        <v>172</v>
      </c>
      <c r="F870" t="s">
        <v>945</v>
      </c>
    </row>
    <row r="871" spans="1:6" x14ac:dyDescent="0.3">
      <c r="A871" t="str">
        <f>HYPERLINK("https://hsdes.intel.com/resource/14013174094","14013174094")</f>
        <v>14013174094</v>
      </c>
      <c r="B871" t="s">
        <v>2229</v>
      </c>
      <c r="C871" t="s">
        <v>2230</v>
      </c>
      <c r="D871" t="s">
        <v>62</v>
      </c>
      <c r="E871" t="s">
        <v>18</v>
      </c>
      <c r="F871" t="s">
        <v>23</v>
      </c>
    </row>
    <row r="872" spans="1:6" x14ac:dyDescent="0.3">
      <c r="A872" t="str">
        <f>HYPERLINK("https://hsdes.intel.com/resource/14013174108","14013174108")</f>
        <v>14013174108</v>
      </c>
      <c r="B872" t="s">
        <v>2231</v>
      </c>
      <c r="C872" t="s">
        <v>2232</v>
      </c>
      <c r="D872" t="s">
        <v>22</v>
      </c>
      <c r="E872" t="s">
        <v>172</v>
      </c>
      <c r="F872" t="s">
        <v>2233</v>
      </c>
    </row>
    <row r="873" spans="1:6" x14ac:dyDescent="0.3">
      <c r="A873" t="str">
        <f>HYPERLINK("https://hsdes.intel.com/resource/14013174147","14013174147")</f>
        <v>14013174147</v>
      </c>
      <c r="B873" t="s">
        <v>2234</v>
      </c>
      <c r="C873" t="s">
        <v>2235</v>
      </c>
      <c r="D873" t="s">
        <v>22</v>
      </c>
      <c r="E873" t="s">
        <v>172</v>
      </c>
      <c r="F873" t="s">
        <v>2236</v>
      </c>
    </row>
    <row r="874" spans="1:6" x14ac:dyDescent="0.3">
      <c r="A874" t="str">
        <f>HYPERLINK("https://hsdes.intel.com/resource/14013174151","14013174151")</f>
        <v>14013174151</v>
      </c>
      <c r="B874" t="s">
        <v>2237</v>
      </c>
      <c r="C874" t="s">
        <v>2238</v>
      </c>
      <c r="D874" t="s">
        <v>62</v>
      </c>
      <c r="E874" t="s">
        <v>172</v>
      </c>
      <c r="F874" t="s">
        <v>2239</v>
      </c>
    </row>
    <row r="875" spans="1:6" x14ac:dyDescent="0.3">
      <c r="A875" t="str">
        <f>HYPERLINK("https://hsdes.intel.com/resource/14013174186","14013174186")</f>
        <v>14013174186</v>
      </c>
      <c r="B875" t="s">
        <v>2240</v>
      </c>
      <c r="C875" t="s">
        <v>2241</v>
      </c>
      <c r="D875" t="s">
        <v>22</v>
      </c>
      <c r="E875" t="s">
        <v>63</v>
      </c>
      <c r="F875" t="s">
        <v>2242</v>
      </c>
    </row>
    <row r="876" spans="1:6" x14ac:dyDescent="0.3">
      <c r="A876" t="str">
        <f>HYPERLINK("https://hsdes.intel.com/resource/14013174240","14013174240")</f>
        <v>14013174240</v>
      </c>
      <c r="B876" t="s">
        <v>2243</v>
      </c>
      <c r="C876" t="s">
        <v>2244</v>
      </c>
      <c r="D876" t="s">
        <v>62</v>
      </c>
      <c r="E876" t="s">
        <v>2192</v>
      </c>
      <c r="F876" t="s">
        <v>2245</v>
      </c>
    </row>
    <row r="877" spans="1:6" x14ac:dyDescent="0.3">
      <c r="A877" t="str">
        <f>HYPERLINK("https://hsdes.intel.com/resource/14013174254","14013174254")</f>
        <v>14013174254</v>
      </c>
      <c r="B877" t="s">
        <v>2246</v>
      </c>
      <c r="C877" t="s">
        <v>2247</v>
      </c>
      <c r="D877" t="s">
        <v>62</v>
      </c>
      <c r="E877" t="s">
        <v>2192</v>
      </c>
      <c r="F877" t="s">
        <v>2248</v>
      </c>
    </row>
    <row r="878" spans="1:6" x14ac:dyDescent="0.3">
      <c r="A878" t="str">
        <f>HYPERLINK("https://hsdes.intel.com/resource/14013174262","14013174262")</f>
        <v>14013174262</v>
      </c>
      <c r="B878" t="s">
        <v>2249</v>
      </c>
      <c r="C878" t="s">
        <v>2250</v>
      </c>
      <c r="D878" t="s">
        <v>62</v>
      </c>
      <c r="E878" t="s">
        <v>172</v>
      </c>
      <c r="F878" t="s">
        <v>2251</v>
      </c>
    </row>
    <row r="879" spans="1:6" x14ac:dyDescent="0.3">
      <c r="A879" t="str">
        <f>HYPERLINK("https://hsdes.intel.com/resource/14013174288","14013174288")</f>
        <v>14013174288</v>
      </c>
      <c r="B879" t="s">
        <v>2252</v>
      </c>
      <c r="C879" t="s">
        <v>2253</v>
      </c>
      <c r="D879" t="s">
        <v>62</v>
      </c>
      <c r="E879" t="s">
        <v>172</v>
      </c>
      <c r="F879" t="s">
        <v>2254</v>
      </c>
    </row>
    <row r="880" spans="1:6" x14ac:dyDescent="0.3">
      <c r="A880" t="str">
        <f>HYPERLINK("https://hsdes.intel.com/resource/14013174349","14013174349")</f>
        <v>14013174349</v>
      </c>
      <c r="B880" t="s">
        <v>2255</v>
      </c>
      <c r="C880" t="s">
        <v>2256</v>
      </c>
      <c r="D880" t="s">
        <v>62</v>
      </c>
      <c r="E880" t="s">
        <v>63</v>
      </c>
      <c r="F880" t="s">
        <v>2257</v>
      </c>
    </row>
    <row r="881" spans="1:6" x14ac:dyDescent="0.3">
      <c r="A881" t="str">
        <f>HYPERLINK("https://hsdes.intel.com/resource/14013174392","14013174392")</f>
        <v>14013174392</v>
      </c>
      <c r="B881" t="s">
        <v>2258</v>
      </c>
      <c r="C881" t="s">
        <v>2259</v>
      </c>
      <c r="D881" t="s">
        <v>62</v>
      </c>
      <c r="E881" t="s">
        <v>63</v>
      </c>
      <c r="F881" t="s">
        <v>2260</v>
      </c>
    </row>
    <row r="882" spans="1:6" x14ac:dyDescent="0.3">
      <c r="A882" t="str">
        <f>HYPERLINK("https://hsdes.intel.com/resource/14013174396","14013174396")</f>
        <v>14013174396</v>
      </c>
      <c r="B882" t="s">
        <v>2261</v>
      </c>
      <c r="C882" t="s">
        <v>2262</v>
      </c>
      <c r="D882" t="s">
        <v>62</v>
      </c>
      <c r="E882" t="s">
        <v>30</v>
      </c>
      <c r="F882" t="s">
        <v>937</v>
      </c>
    </row>
    <row r="883" spans="1:6" x14ac:dyDescent="0.3">
      <c r="A883" t="str">
        <f>HYPERLINK("https://hsdes.intel.com/resource/14013174406","14013174406")</f>
        <v>14013174406</v>
      </c>
      <c r="B883" t="s">
        <v>2263</v>
      </c>
      <c r="C883" t="s">
        <v>2264</v>
      </c>
      <c r="D883" t="s">
        <v>62</v>
      </c>
      <c r="E883" t="s">
        <v>172</v>
      </c>
      <c r="F883" t="s">
        <v>2265</v>
      </c>
    </row>
    <row r="884" spans="1:6" x14ac:dyDescent="0.3">
      <c r="A884" t="str">
        <f>HYPERLINK("https://hsdes.intel.com/resource/14013174424","14013174424")</f>
        <v>14013174424</v>
      </c>
      <c r="B884" t="s">
        <v>2266</v>
      </c>
      <c r="C884" t="s">
        <v>2267</v>
      </c>
      <c r="D884" t="s">
        <v>62</v>
      </c>
      <c r="E884" t="s">
        <v>30</v>
      </c>
      <c r="F884" t="s">
        <v>2268</v>
      </c>
    </row>
    <row r="885" spans="1:6" x14ac:dyDescent="0.3">
      <c r="A885" t="str">
        <f>HYPERLINK("https://hsdes.intel.com/resource/14013174432","14013174432")</f>
        <v>14013174432</v>
      </c>
      <c r="B885" t="s">
        <v>2269</v>
      </c>
      <c r="C885" t="s">
        <v>2270</v>
      </c>
      <c r="D885" t="s">
        <v>62</v>
      </c>
      <c r="E885" t="s">
        <v>30</v>
      </c>
      <c r="F885" t="s">
        <v>2271</v>
      </c>
    </row>
    <row r="886" spans="1:6" x14ac:dyDescent="0.3">
      <c r="A886" t="str">
        <f>HYPERLINK("https://hsdes.intel.com/resource/14013174439","14013174439")</f>
        <v>14013174439</v>
      </c>
      <c r="B886" t="s">
        <v>2272</v>
      </c>
      <c r="C886" t="s">
        <v>2273</v>
      </c>
      <c r="D886" t="s">
        <v>62</v>
      </c>
      <c r="E886" t="s">
        <v>30</v>
      </c>
      <c r="F886" t="s">
        <v>2271</v>
      </c>
    </row>
    <row r="887" spans="1:6" x14ac:dyDescent="0.3">
      <c r="A887" t="str">
        <f>HYPERLINK("https://hsdes.intel.com/resource/14013174442","14013174442")</f>
        <v>14013174442</v>
      </c>
      <c r="B887" t="s">
        <v>2274</v>
      </c>
      <c r="C887" t="s">
        <v>2275</v>
      </c>
      <c r="D887" t="s">
        <v>62</v>
      </c>
      <c r="E887" t="s">
        <v>7</v>
      </c>
      <c r="F887" t="s">
        <v>2276</v>
      </c>
    </row>
    <row r="888" spans="1:6" x14ac:dyDescent="0.3">
      <c r="A888" t="str">
        <f>HYPERLINK("https://hsdes.intel.com/resource/14013174444","14013174444")</f>
        <v>14013174444</v>
      </c>
      <c r="B888" t="s">
        <v>2277</v>
      </c>
      <c r="C888" t="s">
        <v>2278</v>
      </c>
      <c r="D888" t="s">
        <v>62</v>
      </c>
      <c r="E888" t="s">
        <v>30</v>
      </c>
      <c r="F888" t="s">
        <v>11</v>
      </c>
    </row>
    <row r="889" spans="1:6" x14ac:dyDescent="0.3">
      <c r="A889" t="str">
        <f>HYPERLINK("https://hsdes.intel.com/resource/14013174471","14013174471")</f>
        <v>14013174471</v>
      </c>
      <c r="B889" t="s">
        <v>2279</v>
      </c>
      <c r="C889" t="s">
        <v>2280</v>
      </c>
      <c r="D889" t="s">
        <v>62</v>
      </c>
      <c r="E889" t="s">
        <v>30</v>
      </c>
      <c r="F889" t="s">
        <v>2281</v>
      </c>
    </row>
    <row r="890" spans="1:6" x14ac:dyDescent="0.3">
      <c r="A890" t="str">
        <f>HYPERLINK("https://hsdes.intel.com/resource/14013174486","14013174486")</f>
        <v>14013174486</v>
      </c>
      <c r="B890" t="s">
        <v>2282</v>
      </c>
      <c r="C890" t="s">
        <v>2283</v>
      </c>
      <c r="D890" t="s">
        <v>62</v>
      </c>
      <c r="E890" t="s">
        <v>30</v>
      </c>
      <c r="F890" t="s">
        <v>2284</v>
      </c>
    </row>
    <row r="891" spans="1:6" x14ac:dyDescent="0.3">
      <c r="A891" t="str">
        <f>HYPERLINK("https://hsdes.intel.com/resource/14013174491","14013174491")</f>
        <v>14013174491</v>
      </c>
      <c r="B891" t="s">
        <v>2285</v>
      </c>
      <c r="C891" t="s">
        <v>2286</v>
      </c>
      <c r="D891" t="s">
        <v>62</v>
      </c>
      <c r="E891" t="s">
        <v>30</v>
      </c>
      <c r="F891" t="s">
        <v>2284</v>
      </c>
    </row>
    <row r="892" spans="1:6" x14ac:dyDescent="0.3">
      <c r="A892" t="str">
        <f>HYPERLINK("https://hsdes.intel.com/resource/14013174555","14013174555")</f>
        <v>14013174555</v>
      </c>
      <c r="B892" t="s">
        <v>2287</v>
      </c>
      <c r="C892" t="s">
        <v>2288</v>
      </c>
      <c r="D892" t="s">
        <v>62</v>
      </c>
      <c r="E892" t="s">
        <v>30</v>
      </c>
      <c r="F892" t="s">
        <v>2289</v>
      </c>
    </row>
    <row r="893" spans="1:6" x14ac:dyDescent="0.3">
      <c r="A893" t="str">
        <f>HYPERLINK("https://hsdes.intel.com/resource/14013174569","14013174569")</f>
        <v>14013174569</v>
      </c>
      <c r="B893" t="s">
        <v>2290</v>
      </c>
      <c r="C893" t="s">
        <v>2291</v>
      </c>
      <c r="D893" t="s">
        <v>62</v>
      </c>
      <c r="E893" t="s">
        <v>30</v>
      </c>
      <c r="F893" t="s">
        <v>2292</v>
      </c>
    </row>
    <row r="894" spans="1:6" x14ac:dyDescent="0.3">
      <c r="A894" t="str">
        <f>HYPERLINK("https://hsdes.intel.com/resource/14013174609","14013174609")</f>
        <v>14013174609</v>
      </c>
      <c r="B894" t="s">
        <v>2293</v>
      </c>
      <c r="C894" t="s">
        <v>2294</v>
      </c>
      <c r="D894" t="s">
        <v>62</v>
      </c>
      <c r="E894" t="s">
        <v>63</v>
      </c>
      <c r="F894" t="s">
        <v>763</v>
      </c>
    </row>
    <row r="895" spans="1:6" x14ac:dyDescent="0.3">
      <c r="A895" t="str">
        <f>HYPERLINK("https://hsdes.intel.com/resource/14013174639","14013174639")</f>
        <v>14013174639</v>
      </c>
      <c r="B895" t="s">
        <v>2295</v>
      </c>
      <c r="C895" t="s">
        <v>2296</v>
      </c>
      <c r="D895" t="s">
        <v>62</v>
      </c>
      <c r="E895" t="s">
        <v>18</v>
      </c>
      <c r="F895" t="s">
        <v>294</v>
      </c>
    </row>
    <row r="896" spans="1:6" x14ac:dyDescent="0.3">
      <c r="A896" t="str">
        <f>HYPERLINK("https://hsdes.intel.com/resource/14013174645","14013174645")</f>
        <v>14013174645</v>
      </c>
      <c r="B896" t="s">
        <v>2297</v>
      </c>
      <c r="C896" t="s">
        <v>2298</v>
      </c>
      <c r="D896" t="s">
        <v>62</v>
      </c>
      <c r="E896" t="s">
        <v>30</v>
      </c>
      <c r="F896" t="s">
        <v>294</v>
      </c>
    </row>
    <row r="897" spans="1:6" x14ac:dyDescent="0.3">
      <c r="A897" t="str">
        <f>HYPERLINK("https://hsdes.intel.com/resource/14013174650","14013174650")</f>
        <v>14013174650</v>
      </c>
      <c r="B897" t="s">
        <v>2299</v>
      </c>
      <c r="C897" t="s">
        <v>2300</v>
      </c>
      <c r="D897" t="s">
        <v>62</v>
      </c>
      <c r="E897" t="s">
        <v>30</v>
      </c>
      <c r="F897" t="s">
        <v>2281</v>
      </c>
    </row>
    <row r="898" spans="1:6" x14ac:dyDescent="0.3">
      <c r="A898" t="str">
        <f>HYPERLINK("https://hsdes.intel.com/resource/14013174656","14013174656")</f>
        <v>14013174656</v>
      </c>
      <c r="B898" t="s">
        <v>2301</v>
      </c>
      <c r="C898" t="s">
        <v>2302</v>
      </c>
      <c r="D898" t="s">
        <v>62</v>
      </c>
      <c r="E898" t="s">
        <v>18</v>
      </c>
      <c r="F898" t="s">
        <v>2303</v>
      </c>
    </row>
    <row r="899" spans="1:6" x14ac:dyDescent="0.3">
      <c r="A899" t="str">
        <f>HYPERLINK("https://hsdes.intel.com/resource/14013174674","14013174674")</f>
        <v>14013174674</v>
      </c>
      <c r="B899" t="s">
        <v>2304</v>
      </c>
      <c r="C899" t="s">
        <v>2305</v>
      </c>
      <c r="D899" t="s">
        <v>62</v>
      </c>
      <c r="E899" t="s">
        <v>30</v>
      </c>
      <c r="F899" t="s">
        <v>2306</v>
      </c>
    </row>
    <row r="900" spans="1:6" x14ac:dyDescent="0.3">
      <c r="A900" t="str">
        <f>HYPERLINK("https://hsdes.intel.com/resource/14013174680","14013174680")</f>
        <v>14013174680</v>
      </c>
      <c r="B900" t="s">
        <v>2307</v>
      </c>
      <c r="C900" t="s">
        <v>2308</v>
      </c>
      <c r="D900" t="s">
        <v>62</v>
      </c>
      <c r="E900" t="s">
        <v>30</v>
      </c>
      <c r="F900" t="s">
        <v>2306</v>
      </c>
    </row>
    <row r="901" spans="1:6" x14ac:dyDescent="0.3">
      <c r="A901" t="str">
        <f>HYPERLINK("https://hsdes.intel.com/resource/14013174724","14013174724")</f>
        <v>14013174724</v>
      </c>
      <c r="B901" t="s">
        <v>2309</v>
      </c>
      <c r="C901" t="s">
        <v>2310</v>
      </c>
      <c r="D901" t="s">
        <v>62</v>
      </c>
      <c r="E901" t="s">
        <v>18</v>
      </c>
      <c r="F901" t="s">
        <v>2311</v>
      </c>
    </row>
    <row r="902" spans="1:6" x14ac:dyDescent="0.3">
      <c r="A902" t="str">
        <f>HYPERLINK("https://hsdes.intel.com/resource/14013174729","14013174729")</f>
        <v>14013174729</v>
      </c>
      <c r="B902" t="s">
        <v>2312</v>
      </c>
      <c r="C902" t="s">
        <v>2313</v>
      </c>
      <c r="D902" t="s">
        <v>62</v>
      </c>
      <c r="E902" t="s">
        <v>30</v>
      </c>
      <c r="F902" t="s">
        <v>626</v>
      </c>
    </row>
    <row r="903" spans="1:6" x14ac:dyDescent="0.3">
      <c r="A903" t="str">
        <f>HYPERLINK("https://hsdes.intel.com/resource/14013174739","14013174739")</f>
        <v>14013174739</v>
      </c>
      <c r="B903" t="s">
        <v>2314</v>
      </c>
      <c r="C903" t="s">
        <v>2315</v>
      </c>
      <c r="D903" t="s">
        <v>62</v>
      </c>
      <c r="E903" t="s">
        <v>30</v>
      </c>
      <c r="F903" t="s">
        <v>2316</v>
      </c>
    </row>
    <row r="904" spans="1:6" x14ac:dyDescent="0.3">
      <c r="A904" t="str">
        <f>HYPERLINK("https://hsdes.intel.com/resource/14013174748","14013174748")</f>
        <v>14013174748</v>
      </c>
      <c r="B904" t="s">
        <v>2317</v>
      </c>
      <c r="C904" t="s">
        <v>2318</v>
      </c>
      <c r="D904" t="s">
        <v>62</v>
      </c>
      <c r="E904" t="s">
        <v>2319</v>
      </c>
      <c r="F904" t="s">
        <v>2320</v>
      </c>
    </row>
    <row r="905" spans="1:6" x14ac:dyDescent="0.3">
      <c r="A905" t="str">
        <f>HYPERLINK("https://hsdes.intel.com/resource/14013174758","14013174758")</f>
        <v>14013174758</v>
      </c>
      <c r="B905" t="s">
        <v>2321</v>
      </c>
      <c r="C905" t="s">
        <v>2322</v>
      </c>
      <c r="D905" t="s">
        <v>62</v>
      </c>
      <c r="E905" t="s">
        <v>63</v>
      </c>
      <c r="F905" t="s">
        <v>1341</v>
      </c>
    </row>
    <row r="906" spans="1:6" x14ac:dyDescent="0.3">
      <c r="A906" t="str">
        <f>HYPERLINK("https://hsdes.intel.com/resource/14013174783","14013174783")</f>
        <v>14013174783</v>
      </c>
      <c r="B906" t="s">
        <v>2323</v>
      </c>
      <c r="C906" t="s">
        <v>2324</v>
      </c>
      <c r="D906" t="s">
        <v>62</v>
      </c>
      <c r="E906" t="s">
        <v>30</v>
      </c>
      <c r="F906" t="s">
        <v>1388</v>
      </c>
    </row>
    <row r="907" spans="1:6" x14ac:dyDescent="0.3">
      <c r="A907" t="str">
        <f>HYPERLINK("https://hsdes.intel.com/resource/14013174785","14013174785")</f>
        <v>14013174785</v>
      </c>
      <c r="B907" t="s">
        <v>2325</v>
      </c>
      <c r="C907" t="s">
        <v>2326</v>
      </c>
      <c r="D907" t="s">
        <v>62</v>
      </c>
      <c r="E907" t="s">
        <v>30</v>
      </c>
      <c r="F907" t="s">
        <v>2327</v>
      </c>
    </row>
    <row r="908" spans="1:6" x14ac:dyDescent="0.3">
      <c r="A908" t="str">
        <f>HYPERLINK("https://hsdes.intel.com/resource/14013174791","14013174791")</f>
        <v>14013174791</v>
      </c>
      <c r="B908" t="s">
        <v>2328</v>
      </c>
      <c r="C908" t="s">
        <v>2329</v>
      </c>
      <c r="D908" t="s">
        <v>62</v>
      </c>
      <c r="E908" t="s">
        <v>30</v>
      </c>
      <c r="F908" t="s">
        <v>1388</v>
      </c>
    </row>
    <row r="909" spans="1:6" x14ac:dyDescent="0.3">
      <c r="A909" t="str">
        <f>HYPERLINK("https://hsdes.intel.com/resource/14013174800","14013174800")</f>
        <v>14013174800</v>
      </c>
      <c r="B909" t="s">
        <v>2330</v>
      </c>
      <c r="C909" t="s">
        <v>2331</v>
      </c>
      <c r="D909" t="s">
        <v>62</v>
      </c>
      <c r="E909" t="s">
        <v>63</v>
      </c>
      <c r="F909" t="s">
        <v>1388</v>
      </c>
    </row>
    <row r="910" spans="1:6" x14ac:dyDescent="0.3">
      <c r="A910" t="str">
        <f>HYPERLINK("https://hsdes.intel.com/resource/14013174803","14013174803")</f>
        <v>14013174803</v>
      </c>
      <c r="B910" t="s">
        <v>2332</v>
      </c>
      <c r="C910" t="s">
        <v>2333</v>
      </c>
      <c r="D910" t="s">
        <v>62</v>
      </c>
      <c r="E910" t="s">
        <v>30</v>
      </c>
      <c r="F910" t="s">
        <v>2334</v>
      </c>
    </row>
    <row r="911" spans="1:6" x14ac:dyDescent="0.3">
      <c r="A911" t="str">
        <f>HYPERLINK("https://hsdes.intel.com/resource/14013174805","14013174805")</f>
        <v>14013174805</v>
      </c>
      <c r="B911" t="s">
        <v>2335</v>
      </c>
      <c r="C911" t="s">
        <v>2336</v>
      </c>
      <c r="D911" t="s">
        <v>62</v>
      </c>
      <c r="E911" t="s">
        <v>30</v>
      </c>
      <c r="F911" t="s">
        <v>2334</v>
      </c>
    </row>
    <row r="912" spans="1:6" x14ac:dyDescent="0.3">
      <c r="A912" t="str">
        <f>HYPERLINK("https://hsdes.intel.com/resource/14013174807","14013174807")</f>
        <v>14013174807</v>
      </c>
      <c r="B912" t="s">
        <v>2337</v>
      </c>
      <c r="C912" t="s">
        <v>2338</v>
      </c>
      <c r="D912" t="s">
        <v>62</v>
      </c>
      <c r="E912" t="s">
        <v>30</v>
      </c>
      <c r="F912" t="s">
        <v>2334</v>
      </c>
    </row>
    <row r="913" spans="1:6" x14ac:dyDescent="0.3">
      <c r="A913" t="str">
        <f>HYPERLINK("https://hsdes.intel.com/resource/14013174810","14013174810")</f>
        <v>14013174810</v>
      </c>
      <c r="B913" t="s">
        <v>2339</v>
      </c>
      <c r="C913" t="s">
        <v>2340</v>
      </c>
      <c r="D913" t="s">
        <v>62</v>
      </c>
      <c r="E913" t="s">
        <v>30</v>
      </c>
      <c r="F913" t="s">
        <v>2334</v>
      </c>
    </row>
    <row r="914" spans="1:6" x14ac:dyDescent="0.3">
      <c r="A914" t="str">
        <f>HYPERLINK("https://hsdes.intel.com/resource/14013174812","14013174812")</f>
        <v>14013174812</v>
      </c>
      <c r="B914" t="s">
        <v>2341</v>
      </c>
      <c r="C914" t="s">
        <v>2342</v>
      </c>
      <c r="D914" t="s">
        <v>62</v>
      </c>
      <c r="E914" t="s">
        <v>30</v>
      </c>
      <c r="F914" t="s">
        <v>2334</v>
      </c>
    </row>
    <row r="915" spans="1:6" x14ac:dyDescent="0.3">
      <c r="A915" t="str">
        <f>HYPERLINK("https://hsdes.intel.com/resource/14013174821","14013174821")</f>
        <v>14013174821</v>
      </c>
      <c r="B915" t="s">
        <v>2343</v>
      </c>
      <c r="C915" t="s">
        <v>2344</v>
      </c>
      <c r="D915" t="s">
        <v>62</v>
      </c>
      <c r="E915" t="s">
        <v>63</v>
      </c>
      <c r="F915" t="s">
        <v>294</v>
      </c>
    </row>
    <row r="916" spans="1:6" x14ac:dyDescent="0.3">
      <c r="A916" t="str">
        <f>HYPERLINK("https://hsdes.intel.com/resource/14013174825","14013174825")</f>
        <v>14013174825</v>
      </c>
      <c r="B916" t="s">
        <v>2345</v>
      </c>
      <c r="C916" t="s">
        <v>2346</v>
      </c>
      <c r="D916" t="s">
        <v>62</v>
      </c>
      <c r="E916" t="s">
        <v>63</v>
      </c>
      <c r="F916" t="s">
        <v>294</v>
      </c>
    </row>
    <row r="917" spans="1:6" x14ac:dyDescent="0.3">
      <c r="A917" t="str">
        <f>HYPERLINK("https://hsdes.intel.com/resource/14013174827","14013174827")</f>
        <v>14013174827</v>
      </c>
      <c r="B917" t="s">
        <v>2347</v>
      </c>
      <c r="C917" t="s">
        <v>2348</v>
      </c>
      <c r="D917" t="s">
        <v>62</v>
      </c>
      <c r="E917" t="s">
        <v>63</v>
      </c>
      <c r="F917" t="s">
        <v>1759</v>
      </c>
    </row>
    <row r="918" spans="1:6" x14ac:dyDescent="0.3">
      <c r="A918" t="str">
        <f>HYPERLINK("https://hsdes.intel.com/resource/14013174829","14013174829")</f>
        <v>14013174829</v>
      </c>
      <c r="B918" t="s">
        <v>2349</v>
      </c>
      <c r="C918" t="s">
        <v>2350</v>
      </c>
      <c r="D918" t="s">
        <v>62</v>
      </c>
      <c r="E918" t="s">
        <v>30</v>
      </c>
      <c r="F918" t="s">
        <v>294</v>
      </c>
    </row>
    <row r="919" spans="1:6" x14ac:dyDescent="0.3">
      <c r="A919" t="str">
        <f>HYPERLINK("https://hsdes.intel.com/resource/14013174831","14013174831")</f>
        <v>14013174831</v>
      </c>
      <c r="B919" t="s">
        <v>2351</v>
      </c>
      <c r="C919" t="s">
        <v>2352</v>
      </c>
      <c r="D919" t="s">
        <v>62</v>
      </c>
      <c r="E919" t="s">
        <v>30</v>
      </c>
      <c r="F919" t="s">
        <v>294</v>
      </c>
    </row>
    <row r="920" spans="1:6" x14ac:dyDescent="0.3">
      <c r="A920" t="str">
        <f>HYPERLINK("https://hsdes.intel.com/resource/14013174835","14013174835")</f>
        <v>14013174835</v>
      </c>
      <c r="B920" t="s">
        <v>2353</v>
      </c>
      <c r="C920" t="s">
        <v>2354</v>
      </c>
      <c r="D920" t="s">
        <v>62</v>
      </c>
      <c r="E920" t="s">
        <v>30</v>
      </c>
      <c r="F920" t="s">
        <v>294</v>
      </c>
    </row>
    <row r="921" spans="1:6" x14ac:dyDescent="0.3">
      <c r="A921" t="str">
        <f>HYPERLINK("https://hsdes.intel.com/resource/14013174839","14013174839")</f>
        <v>14013174839</v>
      </c>
      <c r="B921" t="s">
        <v>2355</v>
      </c>
      <c r="C921" t="s">
        <v>2356</v>
      </c>
      <c r="D921" t="s">
        <v>62</v>
      </c>
      <c r="E921" t="s">
        <v>30</v>
      </c>
      <c r="F921" t="s">
        <v>1759</v>
      </c>
    </row>
    <row r="922" spans="1:6" x14ac:dyDescent="0.3">
      <c r="A922" t="str">
        <f>HYPERLINK("https://hsdes.intel.com/resource/14013174841","14013174841")</f>
        <v>14013174841</v>
      </c>
      <c r="B922" t="s">
        <v>2357</v>
      </c>
      <c r="C922" t="s">
        <v>2358</v>
      </c>
      <c r="D922" t="s">
        <v>62</v>
      </c>
      <c r="E922" t="s">
        <v>30</v>
      </c>
      <c r="F922" t="s">
        <v>157</v>
      </c>
    </row>
    <row r="923" spans="1:6" x14ac:dyDescent="0.3">
      <c r="A923" t="str">
        <f>HYPERLINK("https://hsdes.intel.com/resource/14013174843","14013174843")</f>
        <v>14013174843</v>
      </c>
      <c r="B923" t="s">
        <v>2359</v>
      </c>
      <c r="C923" t="s">
        <v>2360</v>
      </c>
      <c r="D923" t="s">
        <v>62</v>
      </c>
      <c r="E923" t="s">
        <v>30</v>
      </c>
      <c r="F923" t="s">
        <v>2361</v>
      </c>
    </row>
    <row r="924" spans="1:6" x14ac:dyDescent="0.3">
      <c r="A924" t="str">
        <f>HYPERLINK("https://hsdes.intel.com/resource/14013174959","14013174959")</f>
        <v>14013174959</v>
      </c>
      <c r="B924" t="s">
        <v>2362</v>
      </c>
      <c r="C924" t="s">
        <v>2363</v>
      </c>
      <c r="D924" t="s">
        <v>62</v>
      </c>
      <c r="E924" t="s">
        <v>172</v>
      </c>
      <c r="F924" t="s">
        <v>2364</v>
      </c>
    </row>
    <row r="925" spans="1:6" x14ac:dyDescent="0.3">
      <c r="A925" t="str">
        <f>HYPERLINK("https://hsdes.intel.com/resource/14013175022","14013175022")</f>
        <v>14013175022</v>
      </c>
      <c r="B925" t="s">
        <v>2365</v>
      </c>
      <c r="C925" t="s">
        <v>2366</v>
      </c>
      <c r="D925" t="s">
        <v>62</v>
      </c>
      <c r="E925" t="s">
        <v>2192</v>
      </c>
      <c r="F925" t="s">
        <v>2367</v>
      </c>
    </row>
    <row r="926" spans="1:6" x14ac:dyDescent="0.3">
      <c r="A926" t="str">
        <f>HYPERLINK("https://hsdes.intel.com/resource/14013175124","14013175124")</f>
        <v>14013175124</v>
      </c>
      <c r="B926" t="s">
        <v>2368</v>
      </c>
      <c r="C926" t="s">
        <v>2369</v>
      </c>
      <c r="D926" t="s">
        <v>62</v>
      </c>
      <c r="E926" t="s">
        <v>30</v>
      </c>
      <c r="F926" t="s">
        <v>1807</v>
      </c>
    </row>
    <row r="927" spans="1:6" x14ac:dyDescent="0.3">
      <c r="A927" t="str">
        <f>HYPERLINK("https://hsdes.intel.com/resource/14013175160","14013175160")</f>
        <v>14013175160</v>
      </c>
      <c r="B927" t="s">
        <v>2370</v>
      </c>
      <c r="C927" t="s">
        <v>2371</v>
      </c>
      <c r="D927" t="s">
        <v>62</v>
      </c>
      <c r="E927" t="s">
        <v>2372</v>
      </c>
      <c r="F927" t="s">
        <v>2373</v>
      </c>
    </row>
    <row r="928" spans="1:6" x14ac:dyDescent="0.3">
      <c r="A928" t="str">
        <f>HYPERLINK("https://hsdes.intel.com/resource/14013175166","14013175166")</f>
        <v>14013175166</v>
      </c>
      <c r="B928" t="s">
        <v>2374</v>
      </c>
      <c r="C928" t="s">
        <v>2375</v>
      </c>
      <c r="D928" t="s">
        <v>62</v>
      </c>
      <c r="E928" t="s">
        <v>2192</v>
      </c>
      <c r="F928" t="s">
        <v>2376</v>
      </c>
    </row>
    <row r="929" spans="1:6" x14ac:dyDescent="0.3">
      <c r="A929" t="str">
        <f>HYPERLINK("https://hsdes.intel.com/resource/14013175171","14013175171")</f>
        <v>14013175171</v>
      </c>
      <c r="B929" t="s">
        <v>2377</v>
      </c>
      <c r="C929" t="s">
        <v>2378</v>
      </c>
      <c r="D929" t="s">
        <v>62</v>
      </c>
      <c r="E929" t="s">
        <v>2192</v>
      </c>
      <c r="F929" t="s">
        <v>2376</v>
      </c>
    </row>
    <row r="930" spans="1:6" x14ac:dyDescent="0.3">
      <c r="A930" t="str">
        <f>HYPERLINK("https://hsdes.intel.com/resource/14013175174","14013175174")</f>
        <v>14013175174</v>
      </c>
      <c r="B930" t="s">
        <v>2379</v>
      </c>
      <c r="C930" t="s">
        <v>2380</v>
      </c>
      <c r="D930" t="s">
        <v>62</v>
      </c>
      <c r="E930" t="s">
        <v>2372</v>
      </c>
      <c r="F930" t="s">
        <v>2376</v>
      </c>
    </row>
    <row r="931" spans="1:6" x14ac:dyDescent="0.3">
      <c r="A931" t="str">
        <f>HYPERLINK("https://hsdes.intel.com/resource/14013175199","14013175199")</f>
        <v>14013175199</v>
      </c>
      <c r="B931" t="s">
        <v>2381</v>
      </c>
      <c r="C931" t="s">
        <v>2382</v>
      </c>
      <c r="D931" t="s">
        <v>62</v>
      </c>
      <c r="E931" t="s">
        <v>172</v>
      </c>
      <c r="F931" t="s">
        <v>2383</v>
      </c>
    </row>
    <row r="932" spans="1:6" x14ac:dyDescent="0.3">
      <c r="A932" t="str">
        <f>HYPERLINK("https://hsdes.intel.com/resource/14013175263","14013175263")</f>
        <v>14013175263</v>
      </c>
      <c r="B932" t="s">
        <v>2384</v>
      </c>
      <c r="C932" t="s">
        <v>2385</v>
      </c>
      <c r="D932" t="s">
        <v>62</v>
      </c>
      <c r="E932" t="s">
        <v>2192</v>
      </c>
      <c r="F932" t="s">
        <v>2386</v>
      </c>
    </row>
    <row r="933" spans="1:6" x14ac:dyDescent="0.3">
      <c r="A933" t="str">
        <f>HYPERLINK("https://hsdes.intel.com/resource/14013175301","14013175301")</f>
        <v>14013175301</v>
      </c>
      <c r="B933" t="s">
        <v>2387</v>
      </c>
      <c r="C933" t="s">
        <v>2388</v>
      </c>
      <c r="D933" t="s">
        <v>62</v>
      </c>
      <c r="E933" t="s">
        <v>172</v>
      </c>
      <c r="F933" t="s">
        <v>2389</v>
      </c>
    </row>
    <row r="934" spans="1:6" x14ac:dyDescent="0.3">
      <c r="A934" t="str">
        <f>HYPERLINK("https://hsdes.intel.com/resource/14013175303","14013175303")</f>
        <v>14013175303</v>
      </c>
      <c r="B934" t="s">
        <v>2390</v>
      </c>
      <c r="C934" t="s">
        <v>2391</v>
      </c>
      <c r="D934" t="s">
        <v>62</v>
      </c>
      <c r="E934" t="s">
        <v>172</v>
      </c>
      <c r="F934" t="s">
        <v>2389</v>
      </c>
    </row>
    <row r="935" spans="1:6" x14ac:dyDescent="0.3">
      <c r="A935" t="str">
        <f>HYPERLINK("https://hsdes.intel.com/resource/14013175419","14013175419")</f>
        <v>14013175419</v>
      </c>
      <c r="B935" t="s">
        <v>2392</v>
      </c>
      <c r="C935" t="s">
        <v>2393</v>
      </c>
      <c r="D935" t="s">
        <v>62</v>
      </c>
      <c r="E935" t="s">
        <v>30</v>
      </c>
      <c r="F935" t="s">
        <v>2394</v>
      </c>
    </row>
    <row r="936" spans="1:6" x14ac:dyDescent="0.3">
      <c r="A936" t="str">
        <f>HYPERLINK("https://hsdes.intel.com/resource/14013175425","14013175425")</f>
        <v>14013175425</v>
      </c>
      <c r="B936" t="s">
        <v>2395</v>
      </c>
      <c r="C936" t="s">
        <v>2396</v>
      </c>
      <c r="D936" t="s">
        <v>62</v>
      </c>
      <c r="E936" t="s">
        <v>30</v>
      </c>
      <c r="F936" t="s">
        <v>2397</v>
      </c>
    </row>
    <row r="937" spans="1:6" x14ac:dyDescent="0.3">
      <c r="A937" t="str">
        <f>HYPERLINK("https://hsdes.intel.com/resource/14013175430","14013175430")</f>
        <v>14013175430</v>
      </c>
      <c r="B937" t="s">
        <v>2398</v>
      </c>
      <c r="C937" t="s">
        <v>2399</v>
      </c>
      <c r="D937" t="s">
        <v>62</v>
      </c>
      <c r="E937" t="s">
        <v>2372</v>
      </c>
      <c r="F937" t="s">
        <v>2400</v>
      </c>
    </row>
    <row r="938" spans="1:6" x14ac:dyDescent="0.3">
      <c r="A938" t="str">
        <f>HYPERLINK("https://hsdes.intel.com/resource/14013175437","14013175437")</f>
        <v>14013175437</v>
      </c>
      <c r="B938" t="s">
        <v>2401</v>
      </c>
      <c r="C938" t="s">
        <v>2402</v>
      </c>
      <c r="D938" t="s">
        <v>62</v>
      </c>
      <c r="E938" t="s">
        <v>2372</v>
      </c>
      <c r="F938" t="s">
        <v>2403</v>
      </c>
    </row>
    <row r="939" spans="1:6" x14ac:dyDescent="0.3">
      <c r="A939" t="str">
        <f>HYPERLINK("https://hsdes.intel.com/resource/14013175491","14013175491")</f>
        <v>14013175491</v>
      </c>
      <c r="B939" t="s">
        <v>2404</v>
      </c>
      <c r="C939" t="s">
        <v>2405</v>
      </c>
      <c r="D939" t="s">
        <v>62</v>
      </c>
      <c r="E939" t="s">
        <v>2192</v>
      </c>
      <c r="F939" t="s">
        <v>2406</v>
      </c>
    </row>
    <row r="940" spans="1:6" x14ac:dyDescent="0.3">
      <c r="A940" t="str">
        <f>HYPERLINK("https://hsdes.intel.com/resource/14013175611","14013175611")</f>
        <v>14013175611</v>
      </c>
      <c r="B940" t="s">
        <v>2407</v>
      </c>
      <c r="C940" t="s">
        <v>2408</v>
      </c>
      <c r="D940" t="s">
        <v>98</v>
      </c>
      <c r="E940" t="s">
        <v>30</v>
      </c>
      <c r="F940" t="s">
        <v>2409</v>
      </c>
    </row>
    <row r="941" spans="1:6" x14ac:dyDescent="0.3">
      <c r="A941" t="str">
        <f>HYPERLINK("https://hsdes.intel.com/resource/14013175625","14013175625")</f>
        <v>14013175625</v>
      </c>
      <c r="B941" t="s">
        <v>2410</v>
      </c>
      <c r="C941" t="s">
        <v>2411</v>
      </c>
      <c r="D941" t="s">
        <v>17</v>
      </c>
      <c r="E941" t="s">
        <v>30</v>
      </c>
      <c r="F941" t="s">
        <v>99</v>
      </c>
    </row>
    <row r="942" spans="1:6" x14ac:dyDescent="0.3">
      <c r="A942" t="str">
        <f>HYPERLINK("https://hsdes.intel.com/resource/14013175631","14013175631")</f>
        <v>14013175631</v>
      </c>
      <c r="B942" t="s">
        <v>2412</v>
      </c>
      <c r="C942" t="s">
        <v>2413</v>
      </c>
      <c r="D942" t="s">
        <v>17</v>
      </c>
      <c r="E942" t="s">
        <v>408</v>
      </c>
      <c r="F942" t="s">
        <v>2414</v>
      </c>
    </row>
    <row r="943" spans="1:6" x14ac:dyDescent="0.3">
      <c r="A943" t="str">
        <f>HYPERLINK("https://hsdes.intel.com/resource/14013175635","14013175635")</f>
        <v>14013175635</v>
      </c>
      <c r="B943" t="s">
        <v>2415</v>
      </c>
      <c r="C943" t="s">
        <v>2416</v>
      </c>
      <c r="D943" t="s">
        <v>17</v>
      </c>
      <c r="E943" t="s">
        <v>30</v>
      </c>
      <c r="F943" t="s">
        <v>2417</v>
      </c>
    </row>
    <row r="944" spans="1:6" x14ac:dyDescent="0.3">
      <c r="A944" t="str">
        <f>HYPERLINK("https://hsdes.intel.com/resource/14013175666","14013175666")</f>
        <v>14013175666</v>
      </c>
      <c r="B944" t="s">
        <v>2418</v>
      </c>
      <c r="C944" t="s">
        <v>2419</v>
      </c>
      <c r="D944" t="s">
        <v>98</v>
      </c>
      <c r="E944" t="s">
        <v>63</v>
      </c>
      <c r="F944" t="s">
        <v>99</v>
      </c>
    </row>
    <row r="945" spans="1:6" x14ac:dyDescent="0.3">
      <c r="A945" t="str">
        <f>HYPERLINK("https://hsdes.intel.com/resource/14013175709","14013175709")</f>
        <v>14013175709</v>
      </c>
      <c r="B945" t="s">
        <v>2420</v>
      </c>
      <c r="C945" t="s">
        <v>2421</v>
      </c>
      <c r="D945" t="s">
        <v>98</v>
      </c>
      <c r="E945" t="s">
        <v>63</v>
      </c>
      <c r="F945" t="s">
        <v>2422</v>
      </c>
    </row>
    <row r="946" spans="1:6" x14ac:dyDescent="0.3">
      <c r="A946" t="str">
        <f>HYPERLINK("https://hsdes.intel.com/resource/14013175715","14013175715")</f>
        <v>14013175715</v>
      </c>
      <c r="B946" t="s">
        <v>2423</v>
      </c>
      <c r="C946" t="s">
        <v>2424</v>
      </c>
      <c r="D946" t="s">
        <v>22</v>
      </c>
      <c r="E946" t="s">
        <v>80</v>
      </c>
      <c r="F946" t="s">
        <v>71</v>
      </c>
    </row>
    <row r="947" spans="1:6" x14ac:dyDescent="0.3">
      <c r="A947" t="str">
        <f>HYPERLINK("https://hsdes.intel.com/resource/14013175718","14013175718")</f>
        <v>14013175718</v>
      </c>
      <c r="B947" t="s">
        <v>2425</v>
      </c>
      <c r="C947" t="s">
        <v>2426</v>
      </c>
      <c r="D947" t="s">
        <v>22</v>
      </c>
      <c r="E947" t="s">
        <v>80</v>
      </c>
      <c r="F947" t="s">
        <v>2012</v>
      </c>
    </row>
    <row r="948" spans="1:6" x14ac:dyDescent="0.3">
      <c r="A948" t="str">
        <f>HYPERLINK("https://hsdes.intel.com/resource/14013175721","14013175721")</f>
        <v>14013175721</v>
      </c>
      <c r="B948" t="s">
        <v>2427</v>
      </c>
      <c r="C948" t="s">
        <v>2428</v>
      </c>
      <c r="D948" t="s">
        <v>142</v>
      </c>
      <c r="E948" t="s">
        <v>63</v>
      </c>
      <c r="F948" t="s">
        <v>919</v>
      </c>
    </row>
    <row r="949" spans="1:6" x14ac:dyDescent="0.3">
      <c r="A949" t="str">
        <f>HYPERLINK("https://hsdes.intel.com/resource/14013175734","14013175734")</f>
        <v>14013175734</v>
      </c>
      <c r="B949" t="s">
        <v>2429</v>
      </c>
      <c r="C949" t="s">
        <v>2430</v>
      </c>
      <c r="D949" t="s">
        <v>22</v>
      </c>
      <c r="E949" t="s">
        <v>80</v>
      </c>
      <c r="F949" t="s">
        <v>2431</v>
      </c>
    </row>
    <row r="950" spans="1:6" x14ac:dyDescent="0.3">
      <c r="A950" t="str">
        <f>HYPERLINK("https://hsdes.intel.com/resource/14013175746","14013175746")</f>
        <v>14013175746</v>
      </c>
      <c r="B950" t="s">
        <v>2432</v>
      </c>
      <c r="C950" t="s">
        <v>2433</v>
      </c>
      <c r="D950" t="s">
        <v>22</v>
      </c>
      <c r="E950" t="s">
        <v>63</v>
      </c>
      <c r="F950" t="s">
        <v>2434</v>
      </c>
    </row>
    <row r="951" spans="1:6" x14ac:dyDescent="0.3">
      <c r="A951" t="str">
        <f>HYPERLINK("https://hsdes.intel.com/resource/14013175762","14013175762")</f>
        <v>14013175762</v>
      </c>
      <c r="B951" t="s">
        <v>2435</v>
      </c>
      <c r="C951" t="s">
        <v>2436</v>
      </c>
      <c r="D951" t="s">
        <v>67</v>
      </c>
      <c r="E951" t="s">
        <v>63</v>
      </c>
      <c r="F951" t="s">
        <v>2437</v>
      </c>
    </row>
    <row r="952" spans="1:6" x14ac:dyDescent="0.3">
      <c r="A952" t="str">
        <f>HYPERLINK("https://hsdes.intel.com/resource/14013175764","14013175764")</f>
        <v>14013175764</v>
      </c>
      <c r="B952" t="s">
        <v>2438</v>
      </c>
      <c r="C952" t="s">
        <v>2439</v>
      </c>
      <c r="D952" t="s">
        <v>62</v>
      </c>
      <c r="E952" t="s">
        <v>63</v>
      </c>
      <c r="F952" t="s">
        <v>2440</v>
      </c>
    </row>
    <row r="953" spans="1:6" x14ac:dyDescent="0.3">
      <c r="A953" t="str">
        <f>HYPERLINK("https://hsdes.intel.com/resource/14013175768","14013175768")</f>
        <v>14013175768</v>
      </c>
      <c r="B953" t="s">
        <v>2441</v>
      </c>
      <c r="C953" t="s">
        <v>2442</v>
      </c>
      <c r="D953" t="s">
        <v>6</v>
      </c>
      <c r="E953" t="s">
        <v>7</v>
      </c>
      <c r="F953" t="s">
        <v>2443</v>
      </c>
    </row>
    <row r="954" spans="1:6" x14ac:dyDescent="0.3">
      <c r="A954" t="str">
        <f>HYPERLINK("https://hsdes.intel.com/resource/14013175770","14013175770")</f>
        <v>14013175770</v>
      </c>
      <c r="B954" t="s">
        <v>2444</v>
      </c>
      <c r="C954" t="s">
        <v>2445</v>
      </c>
      <c r="D954" t="s">
        <v>6</v>
      </c>
      <c r="E954" t="s">
        <v>7</v>
      </c>
      <c r="F954" t="s">
        <v>2446</v>
      </c>
    </row>
    <row r="955" spans="1:6" x14ac:dyDescent="0.3">
      <c r="A955" t="str">
        <f>HYPERLINK("https://hsdes.intel.com/resource/14013175775","14013175775")</f>
        <v>14013175775</v>
      </c>
      <c r="B955" t="s">
        <v>2447</v>
      </c>
      <c r="C955" t="s">
        <v>2448</v>
      </c>
      <c r="D955" t="s">
        <v>6</v>
      </c>
      <c r="E955" t="s">
        <v>7</v>
      </c>
      <c r="F955" t="s">
        <v>2449</v>
      </c>
    </row>
    <row r="956" spans="1:6" x14ac:dyDescent="0.3">
      <c r="A956" t="str">
        <f>HYPERLINK("https://hsdes.intel.com/resource/14013175782","14013175782")</f>
        <v>14013175782</v>
      </c>
      <c r="B956" t="s">
        <v>2450</v>
      </c>
      <c r="C956" t="s">
        <v>2451</v>
      </c>
      <c r="D956" t="s">
        <v>22</v>
      </c>
      <c r="E956" t="s">
        <v>80</v>
      </c>
      <c r="F956" t="s">
        <v>2452</v>
      </c>
    </row>
    <row r="957" spans="1:6" x14ac:dyDescent="0.3">
      <c r="A957" t="str">
        <f>HYPERLINK("https://hsdes.intel.com/resource/14013175799","14013175799")</f>
        <v>14013175799</v>
      </c>
      <c r="B957" t="s">
        <v>2453</v>
      </c>
      <c r="C957" t="s">
        <v>2454</v>
      </c>
      <c r="D957" t="s">
        <v>67</v>
      </c>
      <c r="E957" t="s">
        <v>63</v>
      </c>
      <c r="F957" t="s">
        <v>2455</v>
      </c>
    </row>
    <row r="958" spans="1:6" x14ac:dyDescent="0.3">
      <c r="A958" t="str">
        <f>HYPERLINK("https://hsdes.intel.com/resource/14013175832","14013175832")</f>
        <v>14013175832</v>
      </c>
      <c r="B958" t="s">
        <v>2456</v>
      </c>
      <c r="C958" t="s">
        <v>2457</v>
      </c>
      <c r="D958" t="s">
        <v>62</v>
      </c>
      <c r="E958" t="s">
        <v>30</v>
      </c>
      <c r="F958" t="s">
        <v>713</v>
      </c>
    </row>
    <row r="959" spans="1:6" x14ac:dyDescent="0.3">
      <c r="A959" t="str">
        <f>HYPERLINK("https://hsdes.intel.com/resource/14013175838","14013175838")</f>
        <v>14013175838</v>
      </c>
      <c r="B959" t="s">
        <v>2458</v>
      </c>
      <c r="C959" t="s">
        <v>2459</v>
      </c>
      <c r="D959" t="s">
        <v>142</v>
      </c>
      <c r="E959" t="s">
        <v>63</v>
      </c>
      <c r="F959" t="s">
        <v>2460</v>
      </c>
    </row>
    <row r="960" spans="1:6" x14ac:dyDescent="0.3">
      <c r="A960" t="str">
        <f>HYPERLINK("https://hsdes.intel.com/resource/14013175866","14013175866")</f>
        <v>14013175866</v>
      </c>
      <c r="B960" t="s">
        <v>2461</v>
      </c>
      <c r="C960" t="s">
        <v>2462</v>
      </c>
      <c r="D960" t="s">
        <v>6</v>
      </c>
      <c r="E960" t="s">
        <v>7</v>
      </c>
      <c r="F960" t="s">
        <v>2463</v>
      </c>
    </row>
    <row r="961" spans="1:6" x14ac:dyDescent="0.3">
      <c r="A961" t="str">
        <f>HYPERLINK("https://hsdes.intel.com/resource/14013175888","14013175888")</f>
        <v>14013175888</v>
      </c>
      <c r="B961" t="s">
        <v>2464</v>
      </c>
      <c r="C961" t="s">
        <v>2465</v>
      </c>
      <c r="D961" t="s">
        <v>22</v>
      </c>
      <c r="E961" t="s">
        <v>80</v>
      </c>
      <c r="F961" t="s">
        <v>2466</v>
      </c>
    </row>
    <row r="962" spans="1:6" x14ac:dyDescent="0.3">
      <c r="A962" t="str">
        <f>HYPERLINK("https://hsdes.intel.com/resource/14013175897","14013175897")</f>
        <v>14013175897</v>
      </c>
      <c r="B962" t="s">
        <v>2467</v>
      </c>
      <c r="C962" t="s">
        <v>2468</v>
      </c>
      <c r="D962" t="s">
        <v>67</v>
      </c>
      <c r="E962" t="s">
        <v>63</v>
      </c>
      <c r="F962" t="s">
        <v>2469</v>
      </c>
    </row>
    <row r="963" spans="1:6" x14ac:dyDescent="0.3">
      <c r="A963" t="str">
        <f>HYPERLINK("https://hsdes.intel.com/resource/14013175921","14013175921")</f>
        <v>14013175921</v>
      </c>
      <c r="B963" t="s">
        <v>2470</v>
      </c>
      <c r="C963" t="s">
        <v>2471</v>
      </c>
      <c r="D963" t="s">
        <v>29</v>
      </c>
      <c r="E963" t="s">
        <v>63</v>
      </c>
      <c r="F963" t="s">
        <v>2472</v>
      </c>
    </row>
    <row r="964" spans="1:6" x14ac:dyDescent="0.3">
      <c r="A964" t="str">
        <f>HYPERLINK("https://hsdes.intel.com/resource/14013175930","14013175930")</f>
        <v>14013175930</v>
      </c>
      <c r="B964" t="s">
        <v>2473</v>
      </c>
      <c r="C964" t="s">
        <v>2474</v>
      </c>
      <c r="D964" t="s">
        <v>22</v>
      </c>
      <c r="E964" t="s">
        <v>63</v>
      </c>
      <c r="F964" t="s">
        <v>2475</v>
      </c>
    </row>
    <row r="965" spans="1:6" x14ac:dyDescent="0.3">
      <c r="A965" t="str">
        <f>HYPERLINK("https://hsdes.intel.com/resource/14013175942","14013175942")</f>
        <v>14013175942</v>
      </c>
      <c r="B965" t="s">
        <v>2476</v>
      </c>
      <c r="C965" t="s">
        <v>2477</v>
      </c>
      <c r="D965" t="s">
        <v>22</v>
      </c>
      <c r="E965" t="s">
        <v>63</v>
      </c>
      <c r="F965" t="s">
        <v>713</v>
      </c>
    </row>
    <row r="966" spans="1:6" x14ac:dyDescent="0.3">
      <c r="A966" t="str">
        <f>HYPERLINK("https://hsdes.intel.com/resource/14013175948","14013175948")</f>
        <v>14013175948</v>
      </c>
      <c r="B966" t="s">
        <v>2478</v>
      </c>
      <c r="C966" t="s">
        <v>2479</v>
      </c>
      <c r="D966" t="s">
        <v>62</v>
      </c>
      <c r="E966" t="s">
        <v>2480</v>
      </c>
      <c r="F966" t="s">
        <v>2481</v>
      </c>
    </row>
    <row r="967" spans="1:6" x14ac:dyDescent="0.3">
      <c r="A967" t="str">
        <f>HYPERLINK("https://hsdes.intel.com/resource/14013175953","14013175953")</f>
        <v>14013175953</v>
      </c>
      <c r="B967" t="s">
        <v>2482</v>
      </c>
      <c r="C967" t="s">
        <v>2483</v>
      </c>
      <c r="D967" t="s">
        <v>62</v>
      </c>
      <c r="E967" t="s">
        <v>63</v>
      </c>
      <c r="F967" t="s">
        <v>105</v>
      </c>
    </row>
    <row r="968" spans="1:6" x14ac:dyDescent="0.3">
      <c r="A968" t="str">
        <f>HYPERLINK("https://hsdes.intel.com/resource/14013175956","14013175956")</f>
        <v>14013175956</v>
      </c>
      <c r="B968" t="s">
        <v>2484</v>
      </c>
      <c r="C968" t="s">
        <v>2485</v>
      </c>
      <c r="D968" t="s">
        <v>67</v>
      </c>
      <c r="E968" t="s">
        <v>63</v>
      </c>
      <c r="F968" t="s">
        <v>2486</v>
      </c>
    </row>
    <row r="969" spans="1:6" x14ac:dyDescent="0.3">
      <c r="A969" t="str">
        <f>HYPERLINK("https://hsdes.intel.com/resource/14013175962","14013175962")</f>
        <v>14013175962</v>
      </c>
      <c r="B969" t="s">
        <v>2487</v>
      </c>
      <c r="C969" t="s">
        <v>2488</v>
      </c>
      <c r="D969" t="s">
        <v>67</v>
      </c>
      <c r="E969" t="s">
        <v>730</v>
      </c>
      <c r="F969" t="s">
        <v>2489</v>
      </c>
    </row>
    <row r="970" spans="1:6" x14ac:dyDescent="0.3">
      <c r="A970" t="str">
        <f>HYPERLINK("https://hsdes.intel.com/resource/14013176019","14013176019")</f>
        <v>14013176019</v>
      </c>
      <c r="B970" t="s">
        <v>2490</v>
      </c>
      <c r="C970" t="s">
        <v>2491</v>
      </c>
      <c r="D970" t="s">
        <v>22</v>
      </c>
      <c r="E970" t="s">
        <v>80</v>
      </c>
      <c r="F970" t="s">
        <v>71</v>
      </c>
    </row>
    <row r="971" spans="1:6" x14ac:dyDescent="0.3">
      <c r="A971" t="str">
        <f>HYPERLINK("https://hsdes.intel.com/resource/14013176023","14013176023")</f>
        <v>14013176023</v>
      </c>
      <c r="B971" t="s">
        <v>2492</v>
      </c>
      <c r="C971" t="s">
        <v>2493</v>
      </c>
      <c r="D971" t="s">
        <v>17</v>
      </c>
      <c r="E971" t="s">
        <v>30</v>
      </c>
      <c r="F971" t="s">
        <v>2494</v>
      </c>
    </row>
    <row r="972" spans="1:6" x14ac:dyDescent="0.3">
      <c r="A972" t="str">
        <f>HYPERLINK("https://hsdes.intel.com/resource/14013176036","14013176036")</f>
        <v>14013176036</v>
      </c>
      <c r="B972" t="s">
        <v>2495</v>
      </c>
      <c r="C972" t="s">
        <v>2496</v>
      </c>
      <c r="D972" t="s">
        <v>6</v>
      </c>
      <c r="E972" t="s">
        <v>7</v>
      </c>
      <c r="F972" t="s">
        <v>2497</v>
      </c>
    </row>
    <row r="973" spans="1:6" x14ac:dyDescent="0.3">
      <c r="A973" t="str">
        <f>HYPERLINK("https://hsdes.intel.com/resource/14013176039","14013176039")</f>
        <v>14013176039</v>
      </c>
      <c r="B973" t="s">
        <v>2498</v>
      </c>
      <c r="C973" t="s">
        <v>2499</v>
      </c>
      <c r="D973" t="s">
        <v>22</v>
      </c>
      <c r="E973" t="s">
        <v>63</v>
      </c>
      <c r="F973" t="s">
        <v>2500</v>
      </c>
    </row>
    <row r="974" spans="1:6" x14ac:dyDescent="0.3">
      <c r="A974" t="str">
        <f>HYPERLINK("https://hsdes.intel.com/resource/14013176053","14013176053")</f>
        <v>14013176053</v>
      </c>
      <c r="B974" t="s">
        <v>2501</v>
      </c>
      <c r="C974" t="s">
        <v>2502</v>
      </c>
      <c r="D974" t="s">
        <v>22</v>
      </c>
      <c r="E974" t="s">
        <v>80</v>
      </c>
      <c r="F974" t="s">
        <v>2503</v>
      </c>
    </row>
    <row r="975" spans="1:6" x14ac:dyDescent="0.3">
      <c r="A975" t="str">
        <f>HYPERLINK("https://hsdes.intel.com/resource/14013176063","14013176063")</f>
        <v>14013176063</v>
      </c>
      <c r="B975" t="s">
        <v>2504</v>
      </c>
      <c r="C975" t="s">
        <v>2505</v>
      </c>
      <c r="D975" t="s">
        <v>62</v>
      </c>
      <c r="E975" t="s">
        <v>2506</v>
      </c>
      <c r="F975" t="s">
        <v>2507</v>
      </c>
    </row>
    <row r="976" spans="1:6" x14ac:dyDescent="0.3">
      <c r="A976" t="str">
        <f>HYPERLINK("https://hsdes.intel.com/resource/14013176068","14013176068")</f>
        <v>14013176068</v>
      </c>
      <c r="B976" t="s">
        <v>2508</v>
      </c>
      <c r="C976" t="s">
        <v>2509</v>
      </c>
      <c r="D976" t="s">
        <v>67</v>
      </c>
      <c r="E976" t="s">
        <v>63</v>
      </c>
      <c r="F976" t="s">
        <v>19</v>
      </c>
    </row>
    <row r="977" spans="1:6" x14ac:dyDescent="0.3">
      <c r="A977" t="str">
        <f>HYPERLINK("https://hsdes.intel.com/resource/14013176084","14013176084")</f>
        <v>14013176084</v>
      </c>
      <c r="B977" t="s">
        <v>2510</v>
      </c>
      <c r="C977" t="s">
        <v>2511</v>
      </c>
      <c r="D977" t="s">
        <v>22</v>
      </c>
      <c r="E977" t="s">
        <v>63</v>
      </c>
      <c r="F977" t="s">
        <v>300</v>
      </c>
    </row>
    <row r="978" spans="1:6" x14ac:dyDescent="0.3">
      <c r="A978" t="str">
        <f>HYPERLINK("https://hsdes.intel.com/resource/14013176106","14013176106")</f>
        <v>14013176106</v>
      </c>
      <c r="B978" t="s">
        <v>2512</v>
      </c>
      <c r="C978" t="s">
        <v>2513</v>
      </c>
      <c r="D978" t="s">
        <v>22</v>
      </c>
      <c r="E978" t="s">
        <v>80</v>
      </c>
      <c r="F978" t="s">
        <v>2514</v>
      </c>
    </row>
    <row r="979" spans="1:6" x14ac:dyDescent="0.3">
      <c r="A979" t="str">
        <f>HYPERLINK("https://hsdes.intel.com/resource/14013176145","14013176145")</f>
        <v>14013176145</v>
      </c>
      <c r="B979" t="s">
        <v>2515</v>
      </c>
      <c r="C979" t="s">
        <v>2516</v>
      </c>
      <c r="D979" t="s">
        <v>62</v>
      </c>
      <c r="E979" t="s">
        <v>63</v>
      </c>
      <c r="F979" t="s">
        <v>2517</v>
      </c>
    </row>
    <row r="980" spans="1:6" x14ac:dyDescent="0.3">
      <c r="A980" t="str">
        <f>HYPERLINK("https://hsdes.intel.com/resource/14013176160","14013176160")</f>
        <v>14013176160</v>
      </c>
      <c r="B980" t="s">
        <v>2518</v>
      </c>
      <c r="C980" t="s">
        <v>2519</v>
      </c>
      <c r="D980" t="s">
        <v>22</v>
      </c>
      <c r="E980" t="s">
        <v>63</v>
      </c>
      <c r="F980" t="s">
        <v>2520</v>
      </c>
    </row>
    <row r="981" spans="1:6" x14ac:dyDescent="0.3">
      <c r="A981" t="str">
        <f>HYPERLINK("https://hsdes.intel.com/resource/14013176172","14013176172")</f>
        <v>14013176172</v>
      </c>
      <c r="B981" t="s">
        <v>2521</v>
      </c>
      <c r="C981" t="s">
        <v>2522</v>
      </c>
      <c r="D981" t="s">
        <v>29</v>
      </c>
      <c r="E981" t="s">
        <v>1311</v>
      </c>
      <c r="F981" t="s">
        <v>2523</v>
      </c>
    </row>
    <row r="982" spans="1:6" x14ac:dyDescent="0.3">
      <c r="A982" t="str">
        <f>HYPERLINK("https://hsdes.intel.com/resource/14013176197","14013176197")</f>
        <v>14013176197</v>
      </c>
      <c r="B982" t="s">
        <v>2524</v>
      </c>
      <c r="C982" t="s">
        <v>2525</v>
      </c>
      <c r="D982" t="s">
        <v>67</v>
      </c>
      <c r="E982" t="s">
        <v>63</v>
      </c>
      <c r="F982" t="s">
        <v>2526</v>
      </c>
    </row>
    <row r="983" spans="1:6" x14ac:dyDescent="0.3">
      <c r="A983" t="str">
        <f>HYPERLINK("https://hsdes.intel.com/resource/14013176205","14013176205")</f>
        <v>14013176205</v>
      </c>
      <c r="B983" t="s">
        <v>2527</v>
      </c>
      <c r="C983" t="s">
        <v>2528</v>
      </c>
      <c r="D983" t="s">
        <v>62</v>
      </c>
      <c r="E983" t="s">
        <v>63</v>
      </c>
      <c r="F983" t="s">
        <v>2529</v>
      </c>
    </row>
    <row r="984" spans="1:6" x14ac:dyDescent="0.3">
      <c r="A984" t="str">
        <f>HYPERLINK("https://hsdes.intel.com/resource/14013176209","14013176209")</f>
        <v>14013176209</v>
      </c>
      <c r="B984" t="s">
        <v>2530</v>
      </c>
      <c r="C984" t="s">
        <v>2531</v>
      </c>
      <c r="D984" t="s">
        <v>22</v>
      </c>
      <c r="E984" t="s">
        <v>63</v>
      </c>
      <c r="F984" t="s">
        <v>1975</v>
      </c>
    </row>
    <row r="985" spans="1:6" x14ac:dyDescent="0.3">
      <c r="A985" t="str">
        <f>HYPERLINK("https://hsdes.intel.com/resource/14013176227","14013176227")</f>
        <v>14013176227</v>
      </c>
      <c r="B985" t="s">
        <v>2532</v>
      </c>
      <c r="C985" t="s">
        <v>2533</v>
      </c>
      <c r="D985" t="s">
        <v>29</v>
      </c>
      <c r="E985" t="s">
        <v>232</v>
      </c>
      <c r="F985" t="s">
        <v>1301</v>
      </c>
    </row>
    <row r="986" spans="1:6" x14ac:dyDescent="0.3">
      <c r="A986" t="str">
        <f>HYPERLINK("https://hsdes.intel.com/resource/14013176237","14013176237")</f>
        <v>14013176237</v>
      </c>
      <c r="B986" t="s">
        <v>2534</v>
      </c>
      <c r="C986" t="s">
        <v>2535</v>
      </c>
      <c r="D986" t="s">
        <v>62</v>
      </c>
      <c r="E986" t="s">
        <v>63</v>
      </c>
      <c r="F986" t="s">
        <v>2536</v>
      </c>
    </row>
    <row r="987" spans="1:6" x14ac:dyDescent="0.3">
      <c r="A987" t="str">
        <f>HYPERLINK("https://hsdes.intel.com/resource/14013176251","14013176251")</f>
        <v>14013176251</v>
      </c>
      <c r="B987" t="s">
        <v>2537</v>
      </c>
      <c r="C987" t="s">
        <v>2538</v>
      </c>
      <c r="D987" t="s">
        <v>29</v>
      </c>
      <c r="E987" t="s">
        <v>63</v>
      </c>
      <c r="F987" t="s">
        <v>2539</v>
      </c>
    </row>
    <row r="988" spans="1:6" x14ac:dyDescent="0.3">
      <c r="A988" t="str">
        <f>HYPERLINK("https://hsdes.intel.com/resource/14013176259","14013176259")</f>
        <v>14013176259</v>
      </c>
      <c r="B988" t="s">
        <v>2540</v>
      </c>
      <c r="C988" t="s">
        <v>2541</v>
      </c>
      <c r="D988" t="s">
        <v>22</v>
      </c>
      <c r="E988" t="s">
        <v>63</v>
      </c>
      <c r="F988" t="s">
        <v>2542</v>
      </c>
    </row>
    <row r="989" spans="1:6" x14ac:dyDescent="0.3">
      <c r="A989" t="str">
        <f>HYPERLINK("https://hsdes.intel.com/resource/14013176269","14013176269")</f>
        <v>14013176269</v>
      </c>
      <c r="B989" t="s">
        <v>2543</v>
      </c>
      <c r="C989" t="s">
        <v>2544</v>
      </c>
      <c r="D989" t="s">
        <v>62</v>
      </c>
      <c r="E989" t="s">
        <v>63</v>
      </c>
      <c r="F989" t="s">
        <v>2545</v>
      </c>
    </row>
    <row r="990" spans="1:6" x14ac:dyDescent="0.3">
      <c r="A990" t="str">
        <f>HYPERLINK("https://hsdes.intel.com/resource/14013176273","14013176273")</f>
        <v>14013176273</v>
      </c>
      <c r="B990" t="s">
        <v>2546</v>
      </c>
      <c r="C990" t="s">
        <v>2547</v>
      </c>
      <c r="D990" t="s">
        <v>142</v>
      </c>
      <c r="E990" t="s">
        <v>63</v>
      </c>
      <c r="F990" t="s">
        <v>2548</v>
      </c>
    </row>
    <row r="991" spans="1:6" x14ac:dyDescent="0.3">
      <c r="A991" t="str">
        <f>HYPERLINK("https://hsdes.intel.com/resource/14013176285","14013176285")</f>
        <v>14013176285</v>
      </c>
      <c r="B991" t="s">
        <v>2549</v>
      </c>
      <c r="C991" t="s">
        <v>2550</v>
      </c>
      <c r="D991" t="s">
        <v>62</v>
      </c>
      <c r="E991" t="s">
        <v>63</v>
      </c>
      <c r="F991" t="s">
        <v>2551</v>
      </c>
    </row>
    <row r="992" spans="1:6" x14ac:dyDescent="0.3">
      <c r="A992" t="str">
        <f>HYPERLINK("https://hsdes.intel.com/resource/14013176305","14013176305")</f>
        <v>14013176305</v>
      </c>
      <c r="B992" t="s">
        <v>2552</v>
      </c>
      <c r="C992" t="s">
        <v>2553</v>
      </c>
      <c r="D992" t="s">
        <v>17</v>
      </c>
      <c r="E992" t="s">
        <v>63</v>
      </c>
      <c r="F992" t="s">
        <v>403</v>
      </c>
    </row>
    <row r="993" spans="1:6" x14ac:dyDescent="0.3">
      <c r="A993" t="str">
        <f>HYPERLINK("https://hsdes.intel.com/resource/14013176329","14013176329")</f>
        <v>14013176329</v>
      </c>
      <c r="B993" t="s">
        <v>2554</v>
      </c>
      <c r="C993" t="s">
        <v>2555</v>
      </c>
      <c r="D993" t="s">
        <v>67</v>
      </c>
      <c r="E993" t="s">
        <v>63</v>
      </c>
      <c r="F993" t="s">
        <v>2556</v>
      </c>
    </row>
    <row r="994" spans="1:6" x14ac:dyDescent="0.3">
      <c r="A994" t="str">
        <f>HYPERLINK("https://hsdes.intel.com/resource/14013176338","14013176338")</f>
        <v>14013176338</v>
      </c>
      <c r="B994" t="s">
        <v>2557</v>
      </c>
      <c r="C994" t="s">
        <v>2558</v>
      </c>
      <c r="D994" t="s">
        <v>22</v>
      </c>
      <c r="E994" t="s">
        <v>63</v>
      </c>
      <c r="F994" t="s">
        <v>2559</v>
      </c>
    </row>
    <row r="995" spans="1:6" x14ac:dyDescent="0.3">
      <c r="A995" t="str">
        <f>HYPERLINK("https://hsdes.intel.com/resource/14013176353","14013176353")</f>
        <v>14013176353</v>
      </c>
      <c r="B995" t="s">
        <v>2560</v>
      </c>
      <c r="C995" t="s">
        <v>2561</v>
      </c>
      <c r="D995" t="s">
        <v>6</v>
      </c>
      <c r="E995" t="s">
        <v>7</v>
      </c>
      <c r="F995" t="s">
        <v>2562</v>
      </c>
    </row>
    <row r="996" spans="1:6" x14ac:dyDescent="0.3">
      <c r="A996" t="str">
        <f>HYPERLINK("https://hsdes.intel.com/resource/14013176373","14013176373")</f>
        <v>14013176373</v>
      </c>
      <c r="B996" t="s">
        <v>2563</v>
      </c>
      <c r="C996" t="s">
        <v>2564</v>
      </c>
      <c r="D996" t="s">
        <v>22</v>
      </c>
      <c r="E996" t="s">
        <v>80</v>
      </c>
      <c r="F996" t="s">
        <v>2565</v>
      </c>
    </row>
    <row r="997" spans="1:6" x14ac:dyDescent="0.3">
      <c r="A997" t="str">
        <f>HYPERLINK("https://hsdes.intel.com/resource/14013176393","14013176393")</f>
        <v>14013176393</v>
      </c>
      <c r="B997" t="s">
        <v>2566</v>
      </c>
      <c r="C997" t="s">
        <v>2567</v>
      </c>
      <c r="D997" t="s">
        <v>17</v>
      </c>
      <c r="E997" t="s">
        <v>30</v>
      </c>
      <c r="F997" t="s">
        <v>2568</v>
      </c>
    </row>
    <row r="998" spans="1:6" x14ac:dyDescent="0.3">
      <c r="A998" t="str">
        <f>HYPERLINK("https://hsdes.intel.com/resource/14013176403","14013176403")</f>
        <v>14013176403</v>
      </c>
      <c r="B998" t="s">
        <v>2569</v>
      </c>
      <c r="C998" t="s">
        <v>2570</v>
      </c>
      <c r="D998" t="s">
        <v>67</v>
      </c>
      <c r="E998" t="s">
        <v>63</v>
      </c>
      <c r="F998" t="s">
        <v>2571</v>
      </c>
    </row>
    <row r="999" spans="1:6" x14ac:dyDescent="0.3">
      <c r="A999" t="str">
        <f>HYPERLINK("https://hsdes.intel.com/resource/14013176408","14013176408")</f>
        <v>14013176408</v>
      </c>
      <c r="B999" t="s">
        <v>2572</v>
      </c>
      <c r="C999" t="s">
        <v>2573</v>
      </c>
      <c r="D999" t="s">
        <v>67</v>
      </c>
      <c r="E999" t="s">
        <v>63</v>
      </c>
      <c r="F999" t="s">
        <v>2574</v>
      </c>
    </row>
    <row r="1000" spans="1:6" x14ac:dyDescent="0.3">
      <c r="A1000" t="str">
        <f>HYPERLINK("https://hsdes.intel.com/resource/14013176417","14013176417")</f>
        <v>14013176417</v>
      </c>
      <c r="B1000" t="s">
        <v>2575</v>
      </c>
      <c r="C1000" t="s">
        <v>2576</v>
      </c>
      <c r="D1000" t="s">
        <v>17</v>
      </c>
      <c r="E1000" t="s">
        <v>30</v>
      </c>
      <c r="F1000" t="s">
        <v>2577</v>
      </c>
    </row>
    <row r="1001" spans="1:6" x14ac:dyDescent="0.3">
      <c r="A1001" t="str">
        <f>HYPERLINK("https://hsdes.intel.com/resource/14013176423","14013176423")</f>
        <v>14013176423</v>
      </c>
      <c r="B1001" t="s">
        <v>2578</v>
      </c>
      <c r="C1001" t="s">
        <v>2579</v>
      </c>
      <c r="D1001" t="s">
        <v>17</v>
      </c>
      <c r="E1001" t="s">
        <v>30</v>
      </c>
      <c r="F1001" t="s">
        <v>1361</v>
      </c>
    </row>
    <row r="1002" spans="1:6" x14ac:dyDescent="0.3">
      <c r="A1002" t="str">
        <f>HYPERLINK("https://hsdes.intel.com/resource/14013176445","14013176445")</f>
        <v>14013176445</v>
      </c>
      <c r="B1002" t="s">
        <v>2580</v>
      </c>
      <c r="C1002" t="s">
        <v>2581</v>
      </c>
      <c r="D1002" t="s">
        <v>22</v>
      </c>
      <c r="E1002" t="s">
        <v>80</v>
      </c>
      <c r="F1002" t="s">
        <v>26</v>
      </c>
    </row>
    <row r="1003" spans="1:6" x14ac:dyDescent="0.3">
      <c r="A1003" t="str">
        <f>HYPERLINK("https://hsdes.intel.com/resource/14013176448","14013176448")</f>
        <v>14013176448</v>
      </c>
      <c r="B1003" t="s">
        <v>2582</v>
      </c>
      <c r="C1003" t="s">
        <v>2583</v>
      </c>
      <c r="D1003" t="s">
        <v>62</v>
      </c>
      <c r="E1003" t="s">
        <v>63</v>
      </c>
      <c r="F1003" t="s">
        <v>2584</v>
      </c>
    </row>
    <row r="1004" spans="1:6" x14ac:dyDescent="0.3">
      <c r="A1004" t="str">
        <f>HYPERLINK("https://hsdes.intel.com/resource/14013176461","14013176461")</f>
        <v>14013176461</v>
      </c>
      <c r="B1004" t="s">
        <v>2585</v>
      </c>
      <c r="C1004" t="s">
        <v>2586</v>
      </c>
      <c r="D1004" t="s">
        <v>67</v>
      </c>
      <c r="E1004" t="s">
        <v>63</v>
      </c>
      <c r="F1004" t="s">
        <v>2587</v>
      </c>
    </row>
    <row r="1005" spans="1:6" x14ac:dyDescent="0.3">
      <c r="A1005" t="str">
        <f>HYPERLINK("https://hsdes.intel.com/resource/14013176463","14013176463")</f>
        <v>14013176463</v>
      </c>
      <c r="B1005" t="s">
        <v>2588</v>
      </c>
      <c r="C1005" t="s">
        <v>2589</v>
      </c>
      <c r="D1005" t="s">
        <v>67</v>
      </c>
      <c r="E1005" t="s">
        <v>63</v>
      </c>
      <c r="F1005" t="s">
        <v>2526</v>
      </c>
    </row>
    <row r="1006" spans="1:6" x14ac:dyDescent="0.3">
      <c r="A1006" t="str">
        <f>HYPERLINK("https://hsdes.intel.com/resource/14013176478","14013176478")</f>
        <v>14013176478</v>
      </c>
      <c r="B1006" t="s">
        <v>2590</v>
      </c>
      <c r="C1006" t="s">
        <v>2591</v>
      </c>
      <c r="D1006" t="s">
        <v>142</v>
      </c>
      <c r="E1006" t="s">
        <v>63</v>
      </c>
      <c r="F1006" t="s">
        <v>2592</v>
      </c>
    </row>
    <row r="1007" spans="1:6" x14ac:dyDescent="0.3">
      <c r="A1007" t="str">
        <f>HYPERLINK("https://hsdes.intel.com/resource/14013176534","14013176534")</f>
        <v>14013176534</v>
      </c>
      <c r="B1007" t="s">
        <v>2593</v>
      </c>
      <c r="C1007" t="s">
        <v>2594</v>
      </c>
      <c r="D1007" t="s">
        <v>67</v>
      </c>
      <c r="E1007" t="s">
        <v>63</v>
      </c>
      <c r="F1007" t="s">
        <v>2595</v>
      </c>
    </row>
    <row r="1008" spans="1:6" x14ac:dyDescent="0.3">
      <c r="A1008" t="str">
        <f>HYPERLINK("https://hsdes.intel.com/resource/14013176661","14013176661")</f>
        <v>14013176661</v>
      </c>
      <c r="B1008" t="s">
        <v>2596</v>
      </c>
      <c r="C1008" t="s">
        <v>2597</v>
      </c>
      <c r="D1008" t="s">
        <v>22</v>
      </c>
      <c r="E1008" t="s">
        <v>80</v>
      </c>
      <c r="F1008" t="s">
        <v>2598</v>
      </c>
    </row>
    <row r="1009" spans="1:6" x14ac:dyDescent="0.3">
      <c r="A1009" t="str">
        <f>HYPERLINK("https://hsdes.intel.com/resource/14013176669","14013176669")</f>
        <v>14013176669</v>
      </c>
      <c r="B1009" t="s">
        <v>2599</v>
      </c>
      <c r="C1009" t="s">
        <v>2600</v>
      </c>
      <c r="D1009" t="s">
        <v>17</v>
      </c>
      <c r="E1009" t="s">
        <v>694</v>
      </c>
      <c r="F1009" t="s">
        <v>2601</v>
      </c>
    </row>
    <row r="1010" spans="1:6" x14ac:dyDescent="0.3">
      <c r="A1010" t="str">
        <f>HYPERLINK("https://hsdes.intel.com/resource/14013176721","14013176721")</f>
        <v>14013176721</v>
      </c>
      <c r="B1010" t="s">
        <v>2602</v>
      </c>
      <c r="C1010" t="s">
        <v>2603</v>
      </c>
      <c r="D1010" t="s">
        <v>22</v>
      </c>
      <c r="E1010" t="s">
        <v>30</v>
      </c>
      <c r="F1010" t="s">
        <v>2604</v>
      </c>
    </row>
    <row r="1011" spans="1:6" x14ac:dyDescent="0.3">
      <c r="A1011" t="str">
        <f>HYPERLINK("https://hsdes.intel.com/resource/14013176731","14013176731")</f>
        <v>14013176731</v>
      </c>
      <c r="B1011" t="s">
        <v>2605</v>
      </c>
      <c r="C1011" t="s">
        <v>2606</v>
      </c>
      <c r="D1011" t="s">
        <v>22</v>
      </c>
      <c r="E1011" t="s">
        <v>30</v>
      </c>
      <c r="F1011" t="s">
        <v>2607</v>
      </c>
    </row>
    <row r="1012" spans="1:6" x14ac:dyDescent="0.3">
      <c r="A1012" t="str">
        <f>HYPERLINK("https://hsdes.intel.com/resource/14013176782","14013176782")</f>
        <v>14013176782</v>
      </c>
      <c r="B1012" t="s">
        <v>2608</v>
      </c>
      <c r="C1012" t="s">
        <v>2609</v>
      </c>
      <c r="D1012" t="s">
        <v>67</v>
      </c>
      <c r="E1012" t="s">
        <v>63</v>
      </c>
      <c r="F1012" t="s">
        <v>2610</v>
      </c>
    </row>
    <row r="1013" spans="1:6" x14ac:dyDescent="0.3">
      <c r="A1013" t="str">
        <f>HYPERLINK("https://hsdes.intel.com/resource/14013176879","14013176879")</f>
        <v>14013176879</v>
      </c>
      <c r="B1013" t="s">
        <v>2611</v>
      </c>
      <c r="C1013" t="s">
        <v>2612</v>
      </c>
      <c r="D1013" t="s">
        <v>17</v>
      </c>
      <c r="E1013" t="s">
        <v>30</v>
      </c>
      <c r="F1013" t="s">
        <v>1361</v>
      </c>
    </row>
    <row r="1014" spans="1:6" x14ac:dyDescent="0.3">
      <c r="A1014" t="str">
        <f>HYPERLINK("https://hsdes.intel.com/resource/14013176882","14013176882")</f>
        <v>14013176882</v>
      </c>
      <c r="B1014" t="s">
        <v>2613</v>
      </c>
      <c r="C1014" t="s">
        <v>2614</v>
      </c>
      <c r="D1014" t="s">
        <v>22</v>
      </c>
      <c r="E1014" t="s">
        <v>63</v>
      </c>
      <c r="F1014" t="s">
        <v>2615</v>
      </c>
    </row>
    <row r="1015" spans="1:6" x14ac:dyDescent="0.3">
      <c r="A1015" t="str">
        <f>HYPERLINK("https://hsdes.intel.com/resource/14013176896","14013176896")</f>
        <v>14013176896</v>
      </c>
      <c r="B1015" t="s">
        <v>2616</v>
      </c>
      <c r="C1015" t="s">
        <v>2617</v>
      </c>
      <c r="D1015" t="s">
        <v>17</v>
      </c>
      <c r="E1015" t="s">
        <v>30</v>
      </c>
      <c r="F1015" t="s">
        <v>2618</v>
      </c>
    </row>
    <row r="1016" spans="1:6" x14ac:dyDescent="0.3">
      <c r="A1016" t="str">
        <f>HYPERLINK("https://hsdes.intel.com/resource/14013176898","14013176898")</f>
        <v>14013176898</v>
      </c>
      <c r="B1016" t="s">
        <v>2619</v>
      </c>
      <c r="C1016" t="s">
        <v>2620</v>
      </c>
      <c r="D1016" t="s">
        <v>17</v>
      </c>
      <c r="E1016" t="s">
        <v>30</v>
      </c>
      <c r="F1016" t="s">
        <v>1361</v>
      </c>
    </row>
    <row r="1017" spans="1:6" x14ac:dyDescent="0.3">
      <c r="A1017" t="str">
        <f>HYPERLINK("https://hsdes.intel.com/resource/14013176901","14013176901")</f>
        <v>14013176901</v>
      </c>
      <c r="B1017" t="s">
        <v>2621</v>
      </c>
      <c r="C1017" t="s">
        <v>2622</v>
      </c>
      <c r="D1017" t="s">
        <v>17</v>
      </c>
      <c r="E1017" t="s">
        <v>30</v>
      </c>
      <c r="F1017" t="s">
        <v>2623</v>
      </c>
    </row>
    <row r="1018" spans="1:6" x14ac:dyDescent="0.3">
      <c r="A1018" t="str">
        <f>HYPERLINK("https://hsdes.intel.com/resource/14013176907","14013176907")</f>
        <v>14013176907</v>
      </c>
      <c r="B1018" t="s">
        <v>2624</v>
      </c>
      <c r="C1018" t="s">
        <v>2625</v>
      </c>
      <c r="D1018" t="s">
        <v>17</v>
      </c>
      <c r="E1018" t="s">
        <v>30</v>
      </c>
      <c r="F1018" t="s">
        <v>1361</v>
      </c>
    </row>
    <row r="1019" spans="1:6" x14ac:dyDescent="0.3">
      <c r="A1019" t="str">
        <f>HYPERLINK("https://hsdes.intel.com/resource/14013176909","14013176909")</f>
        <v>14013176909</v>
      </c>
      <c r="B1019" t="s">
        <v>2626</v>
      </c>
      <c r="C1019" t="s">
        <v>2627</v>
      </c>
      <c r="D1019" t="s">
        <v>17</v>
      </c>
      <c r="E1019" t="s">
        <v>30</v>
      </c>
      <c r="F1019" t="s">
        <v>2628</v>
      </c>
    </row>
    <row r="1020" spans="1:6" x14ac:dyDescent="0.3">
      <c r="A1020" t="str">
        <f>HYPERLINK("https://hsdes.intel.com/resource/14013176960","14013176960")</f>
        <v>14013176960</v>
      </c>
      <c r="B1020" t="s">
        <v>2629</v>
      </c>
      <c r="C1020" t="s">
        <v>2630</v>
      </c>
      <c r="D1020" t="s">
        <v>22</v>
      </c>
      <c r="E1020" t="s">
        <v>80</v>
      </c>
      <c r="F1020" t="s">
        <v>2631</v>
      </c>
    </row>
    <row r="1021" spans="1:6" x14ac:dyDescent="0.3">
      <c r="A1021" t="str">
        <f>HYPERLINK("https://hsdes.intel.com/resource/14013176963","14013176963")</f>
        <v>14013176963</v>
      </c>
      <c r="B1021" t="s">
        <v>2632</v>
      </c>
      <c r="C1021" t="s">
        <v>2633</v>
      </c>
      <c r="D1021" t="s">
        <v>22</v>
      </c>
      <c r="E1021" t="s">
        <v>80</v>
      </c>
      <c r="F1021" t="s">
        <v>2631</v>
      </c>
    </row>
    <row r="1022" spans="1:6" x14ac:dyDescent="0.3">
      <c r="A1022" t="str">
        <f>HYPERLINK("https://hsdes.intel.com/resource/14013176978","14013176978")</f>
        <v>14013176978</v>
      </c>
      <c r="B1022" t="s">
        <v>2634</v>
      </c>
      <c r="C1022" t="s">
        <v>2635</v>
      </c>
      <c r="D1022" t="s">
        <v>22</v>
      </c>
      <c r="E1022" t="s">
        <v>63</v>
      </c>
      <c r="F1022" t="s">
        <v>2636</v>
      </c>
    </row>
    <row r="1023" spans="1:6" x14ac:dyDescent="0.3">
      <c r="A1023" t="str">
        <f>HYPERLINK("https://hsdes.intel.com/resource/14013177001","14013177001")</f>
        <v>14013177001</v>
      </c>
      <c r="B1023" t="s">
        <v>2637</v>
      </c>
      <c r="C1023" t="s">
        <v>2638</v>
      </c>
      <c r="D1023" t="s">
        <v>22</v>
      </c>
      <c r="E1023" t="s">
        <v>172</v>
      </c>
      <c r="F1023" t="s">
        <v>2236</v>
      </c>
    </row>
    <row r="1024" spans="1:6" x14ac:dyDescent="0.3">
      <c r="A1024" t="str">
        <f>HYPERLINK("https://hsdes.intel.com/resource/14013177010","14013177010")</f>
        <v>14013177010</v>
      </c>
      <c r="B1024" t="s">
        <v>2639</v>
      </c>
      <c r="C1024" t="s">
        <v>2640</v>
      </c>
      <c r="D1024" t="s">
        <v>6</v>
      </c>
      <c r="E1024" t="s">
        <v>63</v>
      </c>
      <c r="F1024" t="s">
        <v>2641</v>
      </c>
    </row>
    <row r="1025" spans="1:6" x14ac:dyDescent="0.3">
      <c r="A1025" t="str">
        <f>HYPERLINK("https://hsdes.intel.com/resource/14013177012","14013177012")</f>
        <v>14013177012</v>
      </c>
      <c r="B1025" t="s">
        <v>2642</v>
      </c>
      <c r="C1025" t="s">
        <v>2643</v>
      </c>
      <c r="D1025" t="s">
        <v>6</v>
      </c>
      <c r="E1025" t="s">
        <v>63</v>
      </c>
      <c r="F1025" t="s">
        <v>2641</v>
      </c>
    </row>
    <row r="1026" spans="1:6" x14ac:dyDescent="0.3">
      <c r="A1026" t="str">
        <f>HYPERLINK("https://hsdes.intel.com/resource/14013177055","14013177055")</f>
        <v>14013177055</v>
      </c>
      <c r="B1026" t="s">
        <v>2644</v>
      </c>
      <c r="C1026" t="s">
        <v>2645</v>
      </c>
      <c r="D1026" t="s">
        <v>22</v>
      </c>
      <c r="E1026" t="s">
        <v>80</v>
      </c>
      <c r="F1026" t="s">
        <v>2646</v>
      </c>
    </row>
    <row r="1027" spans="1:6" x14ac:dyDescent="0.3">
      <c r="A1027" t="str">
        <f>HYPERLINK("https://hsdes.intel.com/resource/14013177183","14013177183")</f>
        <v>14013177183</v>
      </c>
      <c r="B1027" t="s">
        <v>2647</v>
      </c>
      <c r="C1027" t="s">
        <v>2648</v>
      </c>
      <c r="D1027" t="s">
        <v>67</v>
      </c>
      <c r="E1027" t="s">
        <v>63</v>
      </c>
      <c r="F1027" t="s">
        <v>2649</v>
      </c>
    </row>
    <row r="1028" spans="1:6" x14ac:dyDescent="0.3">
      <c r="A1028" t="str">
        <f>HYPERLINK("https://hsdes.intel.com/resource/14013177201","14013177201")</f>
        <v>14013177201</v>
      </c>
      <c r="B1028" t="s">
        <v>2650</v>
      </c>
      <c r="C1028" t="s">
        <v>2651</v>
      </c>
      <c r="D1028" t="s">
        <v>67</v>
      </c>
      <c r="E1028" t="s">
        <v>63</v>
      </c>
      <c r="F1028" t="s">
        <v>2652</v>
      </c>
    </row>
    <row r="1029" spans="1:6" x14ac:dyDescent="0.3">
      <c r="A1029" t="str">
        <f>HYPERLINK("https://hsdes.intel.com/resource/14013177242","14013177242")</f>
        <v>14013177242</v>
      </c>
      <c r="B1029" t="s">
        <v>2653</v>
      </c>
      <c r="C1029" t="s">
        <v>2654</v>
      </c>
      <c r="D1029" t="s">
        <v>67</v>
      </c>
      <c r="E1029" t="s">
        <v>18</v>
      </c>
      <c r="F1029" t="s">
        <v>2655</v>
      </c>
    </row>
    <row r="1030" spans="1:6" x14ac:dyDescent="0.3">
      <c r="A1030" t="str">
        <f>HYPERLINK("https://hsdes.intel.com/resource/14013177326","14013177326")</f>
        <v>14013177326</v>
      </c>
      <c r="B1030" t="s">
        <v>2656</v>
      </c>
      <c r="C1030" t="s">
        <v>2657</v>
      </c>
      <c r="D1030" t="s">
        <v>22</v>
      </c>
      <c r="E1030" t="s">
        <v>80</v>
      </c>
      <c r="F1030" t="s">
        <v>2658</v>
      </c>
    </row>
    <row r="1031" spans="1:6" x14ac:dyDescent="0.3">
      <c r="A1031" t="str">
        <f>HYPERLINK("https://hsdes.intel.com/resource/14013177328","14013177328")</f>
        <v>14013177328</v>
      </c>
      <c r="B1031" t="s">
        <v>2659</v>
      </c>
      <c r="C1031" t="s">
        <v>2660</v>
      </c>
      <c r="D1031" t="s">
        <v>22</v>
      </c>
      <c r="E1031" t="s">
        <v>80</v>
      </c>
      <c r="F1031" t="s">
        <v>2658</v>
      </c>
    </row>
    <row r="1032" spans="1:6" x14ac:dyDescent="0.3">
      <c r="A1032" t="str">
        <f>HYPERLINK("https://hsdes.intel.com/resource/14013177386","14013177386")</f>
        <v>14013177386</v>
      </c>
      <c r="B1032" t="s">
        <v>2661</v>
      </c>
      <c r="C1032" t="s">
        <v>2662</v>
      </c>
      <c r="D1032" t="s">
        <v>67</v>
      </c>
      <c r="E1032" t="s">
        <v>63</v>
      </c>
      <c r="F1032" t="s">
        <v>464</v>
      </c>
    </row>
    <row r="1033" spans="1:6" x14ac:dyDescent="0.3">
      <c r="A1033" t="str">
        <f>HYPERLINK("https://hsdes.intel.com/resource/14013177694","14013177694")</f>
        <v>14013177694</v>
      </c>
      <c r="B1033" t="s">
        <v>2663</v>
      </c>
      <c r="C1033" t="s">
        <v>2664</v>
      </c>
      <c r="D1033" t="s">
        <v>67</v>
      </c>
      <c r="E1033" t="s">
        <v>2665</v>
      </c>
      <c r="F1033" t="s">
        <v>2666</v>
      </c>
    </row>
    <row r="1034" spans="1:6" x14ac:dyDescent="0.3">
      <c r="A1034" t="str">
        <f>HYPERLINK("https://hsdes.intel.com/resource/14013177728","14013177728")</f>
        <v>14013177728</v>
      </c>
      <c r="B1034" t="s">
        <v>2667</v>
      </c>
      <c r="C1034" t="s">
        <v>2668</v>
      </c>
      <c r="D1034" t="s">
        <v>22</v>
      </c>
      <c r="E1034" t="s">
        <v>63</v>
      </c>
      <c r="F1034" t="s">
        <v>2669</v>
      </c>
    </row>
    <row r="1035" spans="1:6" x14ac:dyDescent="0.3">
      <c r="A1035" t="str">
        <f>HYPERLINK("https://hsdes.intel.com/resource/14013177730","14013177730")</f>
        <v>14013177730</v>
      </c>
      <c r="B1035" t="s">
        <v>2670</v>
      </c>
      <c r="C1035" t="s">
        <v>2671</v>
      </c>
      <c r="D1035" t="s">
        <v>22</v>
      </c>
      <c r="E1035" t="s">
        <v>63</v>
      </c>
      <c r="F1035" t="s">
        <v>2672</v>
      </c>
    </row>
    <row r="1036" spans="1:6" x14ac:dyDescent="0.3">
      <c r="A1036" t="str">
        <f>HYPERLINK("https://hsdes.intel.com/resource/14013177751","14013177751")</f>
        <v>14013177751</v>
      </c>
      <c r="B1036" t="s">
        <v>2673</v>
      </c>
      <c r="C1036" t="s">
        <v>2674</v>
      </c>
      <c r="D1036" t="s">
        <v>22</v>
      </c>
      <c r="E1036" t="s">
        <v>2675</v>
      </c>
      <c r="F1036" t="s">
        <v>1807</v>
      </c>
    </row>
    <row r="1037" spans="1:6" x14ac:dyDescent="0.3">
      <c r="A1037" t="str">
        <f>HYPERLINK("https://hsdes.intel.com/resource/14013177804","14013177804")</f>
        <v>14013177804</v>
      </c>
      <c r="B1037" t="s">
        <v>2676</v>
      </c>
      <c r="C1037" t="s">
        <v>2677</v>
      </c>
      <c r="D1037" t="s">
        <v>67</v>
      </c>
      <c r="E1037" t="s">
        <v>63</v>
      </c>
      <c r="F1037" t="s">
        <v>2678</v>
      </c>
    </row>
    <row r="1038" spans="1:6" x14ac:dyDescent="0.3">
      <c r="A1038" t="str">
        <f>HYPERLINK("https://hsdes.intel.com/resource/14013177806","14013177806")</f>
        <v>14013177806</v>
      </c>
      <c r="B1038" t="s">
        <v>2679</v>
      </c>
      <c r="C1038" t="s">
        <v>2680</v>
      </c>
      <c r="D1038" t="s">
        <v>67</v>
      </c>
      <c r="E1038" t="s">
        <v>63</v>
      </c>
      <c r="F1038" t="s">
        <v>2678</v>
      </c>
    </row>
    <row r="1039" spans="1:6" x14ac:dyDescent="0.3">
      <c r="A1039" t="str">
        <f>HYPERLINK("https://hsdes.intel.com/resource/14013177808","14013177808")</f>
        <v>14013177808</v>
      </c>
      <c r="B1039" t="s">
        <v>2681</v>
      </c>
      <c r="C1039" t="s">
        <v>2682</v>
      </c>
      <c r="D1039" t="s">
        <v>67</v>
      </c>
      <c r="E1039" t="s">
        <v>63</v>
      </c>
      <c r="F1039" t="s">
        <v>1807</v>
      </c>
    </row>
    <row r="1040" spans="1:6" x14ac:dyDescent="0.3">
      <c r="A1040" t="str">
        <f>HYPERLINK("https://hsdes.intel.com/resource/14013177813","14013177813")</f>
        <v>14013177813</v>
      </c>
      <c r="B1040" t="s">
        <v>2683</v>
      </c>
      <c r="C1040" t="s">
        <v>2684</v>
      </c>
      <c r="D1040" t="s">
        <v>67</v>
      </c>
      <c r="E1040" t="s">
        <v>63</v>
      </c>
      <c r="F1040" t="s">
        <v>2685</v>
      </c>
    </row>
    <row r="1041" spans="1:6" x14ac:dyDescent="0.3">
      <c r="A1041" t="str">
        <f>HYPERLINK("https://hsdes.intel.com/resource/14013177820","14013177820")</f>
        <v>14013177820</v>
      </c>
      <c r="B1041" t="s">
        <v>2686</v>
      </c>
      <c r="C1041" t="s">
        <v>2687</v>
      </c>
      <c r="D1041" t="s">
        <v>67</v>
      </c>
      <c r="E1041" t="s">
        <v>63</v>
      </c>
      <c r="F1041" t="s">
        <v>2688</v>
      </c>
    </row>
    <row r="1042" spans="1:6" x14ac:dyDescent="0.3">
      <c r="A1042" t="str">
        <f>HYPERLINK("https://hsdes.intel.com/resource/14013177822","14013177822")</f>
        <v>14013177822</v>
      </c>
      <c r="B1042" t="s">
        <v>2689</v>
      </c>
      <c r="C1042" t="s">
        <v>2690</v>
      </c>
      <c r="D1042" t="s">
        <v>67</v>
      </c>
      <c r="E1042" t="s">
        <v>63</v>
      </c>
      <c r="F1042" t="s">
        <v>2688</v>
      </c>
    </row>
    <row r="1043" spans="1:6" x14ac:dyDescent="0.3">
      <c r="A1043" t="str">
        <f>HYPERLINK("https://hsdes.intel.com/resource/14013177825","14013177825")</f>
        <v>14013177825</v>
      </c>
      <c r="B1043" t="s">
        <v>2691</v>
      </c>
      <c r="C1043" t="s">
        <v>2692</v>
      </c>
      <c r="D1043" t="s">
        <v>67</v>
      </c>
      <c r="E1043" t="s">
        <v>63</v>
      </c>
      <c r="F1043" t="s">
        <v>2693</v>
      </c>
    </row>
    <row r="1044" spans="1:6" x14ac:dyDescent="0.3">
      <c r="A1044" t="str">
        <f>HYPERLINK("https://hsdes.intel.com/resource/14013177842","14013177842")</f>
        <v>14013177842</v>
      </c>
      <c r="B1044" t="s">
        <v>2694</v>
      </c>
      <c r="C1044" t="s">
        <v>2695</v>
      </c>
      <c r="D1044" t="s">
        <v>67</v>
      </c>
      <c r="E1044" t="s">
        <v>63</v>
      </c>
      <c r="F1044" t="s">
        <v>2688</v>
      </c>
    </row>
    <row r="1045" spans="1:6" x14ac:dyDescent="0.3">
      <c r="A1045" t="str">
        <f>HYPERLINK("https://hsdes.intel.com/resource/14013177862","14013177862")</f>
        <v>14013177862</v>
      </c>
      <c r="B1045" t="s">
        <v>2696</v>
      </c>
      <c r="C1045" t="s">
        <v>2697</v>
      </c>
      <c r="D1045" t="s">
        <v>22</v>
      </c>
      <c r="E1045" t="s">
        <v>63</v>
      </c>
      <c r="F1045" t="s">
        <v>531</v>
      </c>
    </row>
    <row r="1046" spans="1:6" x14ac:dyDescent="0.3">
      <c r="A1046" t="str">
        <f>HYPERLINK("https://hsdes.intel.com/resource/14013177873","14013177873")</f>
        <v>14013177873</v>
      </c>
      <c r="B1046" t="s">
        <v>2698</v>
      </c>
      <c r="C1046" t="s">
        <v>2699</v>
      </c>
      <c r="D1046" t="s">
        <v>22</v>
      </c>
      <c r="E1046" t="s">
        <v>63</v>
      </c>
      <c r="F1046" t="s">
        <v>531</v>
      </c>
    </row>
    <row r="1047" spans="1:6" x14ac:dyDescent="0.3">
      <c r="A1047" t="str">
        <f>HYPERLINK("https://hsdes.intel.com/resource/14013177887","14013177887")</f>
        <v>14013177887</v>
      </c>
      <c r="B1047" t="s">
        <v>2700</v>
      </c>
      <c r="C1047" t="s">
        <v>2701</v>
      </c>
      <c r="D1047" t="s">
        <v>142</v>
      </c>
      <c r="E1047" t="s">
        <v>30</v>
      </c>
      <c r="F1047" t="s">
        <v>2702</v>
      </c>
    </row>
    <row r="1048" spans="1:6" x14ac:dyDescent="0.3">
      <c r="A1048" t="str">
        <f>HYPERLINK("https://hsdes.intel.com/resource/14013177895","14013177895")</f>
        <v>14013177895</v>
      </c>
      <c r="B1048" t="s">
        <v>2703</v>
      </c>
      <c r="C1048" t="s">
        <v>2704</v>
      </c>
      <c r="D1048" t="s">
        <v>22</v>
      </c>
      <c r="E1048" t="s">
        <v>30</v>
      </c>
      <c r="F1048" t="s">
        <v>2705</v>
      </c>
    </row>
    <row r="1049" spans="1:6" x14ac:dyDescent="0.3">
      <c r="A1049" t="str">
        <f>HYPERLINK("https://hsdes.intel.com/resource/14013177905","14013177905")</f>
        <v>14013177905</v>
      </c>
      <c r="B1049" t="s">
        <v>2706</v>
      </c>
      <c r="C1049" t="s">
        <v>2707</v>
      </c>
      <c r="D1049" t="s">
        <v>67</v>
      </c>
      <c r="E1049" t="s">
        <v>63</v>
      </c>
      <c r="F1049" t="s">
        <v>1926</v>
      </c>
    </row>
    <row r="1050" spans="1:6" x14ac:dyDescent="0.3">
      <c r="A1050" t="str">
        <f>HYPERLINK("https://hsdes.intel.com/resource/14013177912","14013177912")</f>
        <v>14013177912</v>
      </c>
      <c r="B1050" t="s">
        <v>2708</v>
      </c>
      <c r="C1050" t="s">
        <v>2709</v>
      </c>
      <c r="D1050" t="s">
        <v>22</v>
      </c>
      <c r="E1050" t="s">
        <v>63</v>
      </c>
      <c r="F1050" t="s">
        <v>105</v>
      </c>
    </row>
    <row r="1051" spans="1:6" x14ac:dyDescent="0.3">
      <c r="A1051" t="str">
        <f>HYPERLINK("https://hsdes.intel.com/resource/14013177951","14013177951")</f>
        <v>14013177951</v>
      </c>
      <c r="B1051" t="s">
        <v>2710</v>
      </c>
      <c r="C1051" t="s">
        <v>2711</v>
      </c>
      <c r="D1051" t="s">
        <v>17</v>
      </c>
      <c r="E1051" t="s">
        <v>30</v>
      </c>
      <c r="F1051" t="s">
        <v>1361</v>
      </c>
    </row>
    <row r="1052" spans="1:6" x14ac:dyDescent="0.3">
      <c r="A1052" t="str">
        <f>HYPERLINK("https://hsdes.intel.com/resource/14013177997","14013177997")</f>
        <v>14013177997</v>
      </c>
      <c r="B1052" t="s">
        <v>2712</v>
      </c>
      <c r="C1052" t="s">
        <v>2713</v>
      </c>
      <c r="D1052" t="s">
        <v>22</v>
      </c>
      <c r="E1052" t="s">
        <v>80</v>
      </c>
      <c r="F1052" t="s">
        <v>2714</v>
      </c>
    </row>
    <row r="1053" spans="1:6" x14ac:dyDescent="0.3">
      <c r="A1053" t="str">
        <f>HYPERLINK("https://hsdes.intel.com/resource/14013178034","14013178034")</f>
        <v>14013178034</v>
      </c>
      <c r="B1053" t="s">
        <v>2715</v>
      </c>
      <c r="C1053" t="s">
        <v>2716</v>
      </c>
      <c r="D1053" t="s">
        <v>6</v>
      </c>
      <c r="E1053" t="s">
        <v>63</v>
      </c>
      <c r="F1053" t="s">
        <v>577</v>
      </c>
    </row>
    <row r="1054" spans="1:6" x14ac:dyDescent="0.3">
      <c r="A1054" t="str">
        <f>HYPERLINK("https://hsdes.intel.com/resource/14013178035","14013178035")</f>
        <v>14013178035</v>
      </c>
      <c r="B1054" t="s">
        <v>2717</v>
      </c>
      <c r="C1054" t="s">
        <v>2718</v>
      </c>
      <c r="D1054" t="s">
        <v>6</v>
      </c>
      <c r="E1054" t="s">
        <v>63</v>
      </c>
      <c r="F1054" t="s">
        <v>1411</v>
      </c>
    </row>
    <row r="1055" spans="1:6" x14ac:dyDescent="0.3">
      <c r="A1055" t="str">
        <f>HYPERLINK("https://hsdes.intel.com/resource/14013178043","14013178043")</f>
        <v>14013178043</v>
      </c>
      <c r="B1055" t="s">
        <v>2719</v>
      </c>
      <c r="C1055" t="s">
        <v>2720</v>
      </c>
      <c r="D1055" t="s">
        <v>29</v>
      </c>
      <c r="E1055" t="s">
        <v>63</v>
      </c>
      <c r="F1055" t="s">
        <v>2721</v>
      </c>
    </row>
    <row r="1056" spans="1:6" x14ac:dyDescent="0.3">
      <c r="A1056" t="str">
        <f>HYPERLINK("https://hsdes.intel.com/resource/14013178072","14013178072")</f>
        <v>14013178072</v>
      </c>
      <c r="B1056" t="s">
        <v>2722</v>
      </c>
      <c r="C1056" t="s">
        <v>2723</v>
      </c>
      <c r="D1056" t="s">
        <v>62</v>
      </c>
      <c r="E1056" t="s">
        <v>63</v>
      </c>
      <c r="F1056" t="s">
        <v>2724</v>
      </c>
    </row>
    <row r="1057" spans="1:6" x14ac:dyDescent="0.3">
      <c r="A1057" t="str">
        <f>HYPERLINK("https://hsdes.intel.com/resource/14013178162","14013178162")</f>
        <v>14013178162</v>
      </c>
      <c r="B1057" t="s">
        <v>2725</v>
      </c>
      <c r="C1057" t="s">
        <v>2726</v>
      </c>
      <c r="D1057" t="s">
        <v>62</v>
      </c>
      <c r="E1057" t="s">
        <v>63</v>
      </c>
      <c r="F1057" t="s">
        <v>2727</v>
      </c>
    </row>
    <row r="1058" spans="1:6" x14ac:dyDescent="0.3">
      <c r="A1058" t="str">
        <f>HYPERLINK("https://hsdes.intel.com/resource/14013178206","14013178206")</f>
        <v>14013178206</v>
      </c>
      <c r="B1058" t="s">
        <v>2728</v>
      </c>
      <c r="C1058" t="s">
        <v>2729</v>
      </c>
      <c r="D1058" t="s">
        <v>22</v>
      </c>
      <c r="E1058" t="s">
        <v>80</v>
      </c>
      <c r="F1058" t="s">
        <v>239</v>
      </c>
    </row>
    <row r="1059" spans="1:6" x14ac:dyDescent="0.3">
      <c r="A1059" t="str">
        <f>HYPERLINK("https://hsdes.intel.com/resource/14013178209","14013178209")</f>
        <v>14013178209</v>
      </c>
      <c r="B1059" t="s">
        <v>2730</v>
      </c>
      <c r="C1059" t="s">
        <v>2731</v>
      </c>
      <c r="D1059" t="s">
        <v>22</v>
      </c>
      <c r="E1059" t="s">
        <v>80</v>
      </c>
      <c r="F1059" t="s">
        <v>2732</v>
      </c>
    </row>
    <row r="1060" spans="1:6" x14ac:dyDescent="0.3">
      <c r="A1060" t="str">
        <f>HYPERLINK("https://hsdes.intel.com/resource/14013178238","14013178238")</f>
        <v>14013178238</v>
      </c>
      <c r="B1060" t="s">
        <v>2733</v>
      </c>
      <c r="C1060" t="s">
        <v>2734</v>
      </c>
      <c r="D1060" t="s">
        <v>22</v>
      </c>
      <c r="E1060" t="s">
        <v>63</v>
      </c>
      <c r="F1060" t="s">
        <v>239</v>
      </c>
    </row>
    <row r="1061" spans="1:6" x14ac:dyDescent="0.3">
      <c r="A1061" t="str">
        <f>HYPERLINK("https://hsdes.intel.com/resource/14013178242","14013178242")</f>
        <v>14013178242</v>
      </c>
      <c r="B1061" t="s">
        <v>2735</v>
      </c>
      <c r="C1061" t="s">
        <v>2736</v>
      </c>
      <c r="D1061" t="s">
        <v>22</v>
      </c>
      <c r="E1061" t="s">
        <v>63</v>
      </c>
      <c r="F1061" t="s">
        <v>2737</v>
      </c>
    </row>
    <row r="1062" spans="1:6" x14ac:dyDescent="0.3">
      <c r="A1062" t="str">
        <f>HYPERLINK("https://hsdes.intel.com/resource/14013178267","14013178267")</f>
        <v>14013178267</v>
      </c>
      <c r="B1062" t="s">
        <v>2738</v>
      </c>
      <c r="C1062" t="s">
        <v>2739</v>
      </c>
      <c r="D1062" t="s">
        <v>22</v>
      </c>
      <c r="E1062" t="s">
        <v>63</v>
      </c>
      <c r="F1062" t="s">
        <v>2740</v>
      </c>
    </row>
    <row r="1063" spans="1:6" x14ac:dyDescent="0.3">
      <c r="A1063" t="str">
        <f>HYPERLINK("https://hsdes.intel.com/resource/14013178278","14013178278")</f>
        <v>14013178278</v>
      </c>
      <c r="B1063" t="s">
        <v>2741</v>
      </c>
      <c r="C1063" t="s">
        <v>2742</v>
      </c>
      <c r="D1063" t="s">
        <v>22</v>
      </c>
      <c r="E1063" t="s">
        <v>172</v>
      </c>
      <c r="F1063" t="s">
        <v>531</v>
      </c>
    </row>
    <row r="1064" spans="1:6" x14ac:dyDescent="0.3">
      <c r="A1064" t="str">
        <f>HYPERLINK("https://hsdes.intel.com/resource/14013178282","14013178282")</f>
        <v>14013178282</v>
      </c>
      <c r="B1064" t="s">
        <v>2743</v>
      </c>
      <c r="C1064" t="s">
        <v>2744</v>
      </c>
      <c r="D1064" t="s">
        <v>22</v>
      </c>
      <c r="E1064" t="s">
        <v>7</v>
      </c>
      <c r="F1064" t="s">
        <v>531</v>
      </c>
    </row>
    <row r="1065" spans="1:6" x14ac:dyDescent="0.3">
      <c r="A1065" t="str">
        <f>HYPERLINK("https://hsdes.intel.com/resource/14013178302","14013178302")</f>
        <v>14013178302</v>
      </c>
      <c r="B1065" t="s">
        <v>2745</v>
      </c>
      <c r="C1065" t="s">
        <v>2746</v>
      </c>
      <c r="D1065" t="s">
        <v>22</v>
      </c>
      <c r="E1065" t="s">
        <v>2747</v>
      </c>
      <c r="F1065" t="s">
        <v>1926</v>
      </c>
    </row>
    <row r="1066" spans="1:6" x14ac:dyDescent="0.3">
      <c r="A1066" t="str">
        <f>HYPERLINK("https://hsdes.intel.com/resource/14013178315","14013178315")</f>
        <v>14013178315</v>
      </c>
      <c r="B1066" t="s">
        <v>2748</v>
      </c>
      <c r="C1066" t="s">
        <v>2749</v>
      </c>
      <c r="D1066" t="s">
        <v>98</v>
      </c>
      <c r="E1066" t="s">
        <v>30</v>
      </c>
      <c r="F1066" t="s">
        <v>594</v>
      </c>
    </row>
    <row r="1067" spans="1:6" x14ac:dyDescent="0.3">
      <c r="A1067" t="str">
        <f>HYPERLINK("https://hsdes.intel.com/resource/14013178333","14013178333")</f>
        <v>14013178333</v>
      </c>
      <c r="B1067" t="s">
        <v>2750</v>
      </c>
      <c r="C1067" t="s">
        <v>2751</v>
      </c>
      <c r="D1067" t="s">
        <v>98</v>
      </c>
      <c r="E1067" t="s">
        <v>2167</v>
      </c>
      <c r="F1067" t="s">
        <v>1419</v>
      </c>
    </row>
    <row r="1068" spans="1:6" x14ac:dyDescent="0.3">
      <c r="A1068" t="str">
        <f>HYPERLINK("https://hsdes.intel.com/resource/14013178335","14013178335")</f>
        <v>14013178335</v>
      </c>
      <c r="B1068" t="s">
        <v>2752</v>
      </c>
      <c r="C1068" t="s">
        <v>2753</v>
      </c>
      <c r="D1068" t="s">
        <v>98</v>
      </c>
      <c r="E1068" t="s">
        <v>2167</v>
      </c>
      <c r="F1068" t="s">
        <v>2754</v>
      </c>
    </row>
    <row r="1069" spans="1:6" x14ac:dyDescent="0.3">
      <c r="A1069" t="str">
        <f>HYPERLINK("https://hsdes.intel.com/resource/14013178349","14013178349")</f>
        <v>14013178349</v>
      </c>
      <c r="B1069" t="s">
        <v>2755</v>
      </c>
      <c r="C1069" t="s">
        <v>2756</v>
      </c>
      <c r="D1069" t="s">
        <v>98</v>
      </c>
      <c r="E1069" t="s">
        <v>2167</v>
      </c>
      <c r="F1069" t="s">
        <v>2757</v>
      </c>
    </row>
    <row r="1070" spans="1:6" x14ac:dyDescent="0.3">
      <c r="A1070" t="str">
        <f>HYPERLINK("https://hsdes.intel.com/resource/14013178351","14013178351")</f>
        <v>14013178351</v>
      </c>
      <c r="B1070" t="s">
        <v>2758</v>
      </c>
      <c r="C1070" t="s">
        <v>2759</v>
      </c>
      <c r="D1070" t="s">
        <v>98</v>
      </c>
      <c r="E1070" t="s">
        <v>2167</v>
      </c>
      <c r="F1070" t="s">
        <v>2760</v>
      </c>
    </row>
    <row r="1071" spans="1:6" x14ac:dyDescent="0.3">
      <c r="A1071" t="str">
        <f>HYPERLINK("https://hsdes.intel.com/resource/14013178354","14013178354")</f>
        <v>14013178354</v>
      </c>
      <c r="B1071" t="s">
        <v>2761</v>
      </c>
      <c r="C1071" t="s">
        <v>2762</v>
      </c>
      <c r="D1071" t="s">
        <v>22</v>
      </c>
      <c r="E1071" t="s">
        <v>30</v>
      </c>
      <c r="F1071" t="s">
        <v>2763</v>
      </c>
    </row>
    <row r="1072" spans="1:6" x14ac:dyDescent="0.3">
      <c r="A1072" t="str">
        <f>HYPERLINK("https://hsdes.intel.com/resource/14013178355","14013178355")</f>
        <v>14013178355</v>
      </c>
      <c r="B1072" t="s">
        <v>2764</v>
      </c>
      <c r="C1072" t="s">
        <v>2765</v>
      </c>
      <c r="D1072" t="s">
        <v>98</v>
      </c>
      <c r="E1072" t="s">
        <v>2167</v>
      </c>
      <c r="F1072" t="s">
        <v>1419</v>
      </c>
    </row>
    <row r="1073" spans="1:6" x14ac:dyDescent="0.3">
      <c r="A1073" t="str">
        <f>HYPERLINK("https://hsdes.intel.com/resource/14013178356","14013178356")</f>
        <v>14013178356</v>
      </c>
      <c r="B1073" t="s">
        <v>2766</v>
      </c>
      <c r="C1073" t="s">
        <v>2767</v>
      </c>
      <c r="D1073" t="s">
        <v>98</v>
      </c>
      <c r="E1073" t="s">
        <v>2167</v>
      </c>
      <c r="F1073" t="s">
        <v>2754</v>
      </c>
    </row>
    <row r="1074" spans="1:6" x14ac:dyDescent="0.3">
      <c r="A1074" t="str">
        <f>HYPERLINK("https://hsdes.intel.com/resource/14013178358","14013178358")</f>
        <v>14013178358</v>
      </c>
      <c r="B1074" t="s">
        <v>2768</v>
      </c>
      <c r="C1074" t="s">
        <v>2769</v>
      </c>
      <c r="D1074" t="s">
        <v>98</v>
      </c>
      <c r="E1074" t="s">
        <v>2167</v>
      </c>
      <c r="F1074" t="s">
        <v>1388</v>
      </c>
    </row>
    <row r="1075" spans="1:6" x14ac:dyDescent="0.3">
      <c r="A1075" t="str">
        <f>HYPERLINK("https://hsdes.intel.com/resource/14013178359","14013178359")</f>
        <v>14013178359</v>
      </c>
      <c r="B1075" t="s">
        <v>2770</v>
      </c>
      <c r="C1075" t="s">
        <v>2771</v>
      </c>
      <c r="D1075" t="s">
        <v>98</v>
      </c>
      <c r="E1075" t="s">
        <v>2167</v>
      </c>
      <c r="F1075" t="s">
        <v>1919</v>
      </c>
    </row>
    <row r="1076" spans="1:6" x14ac:dyDescent="0.3">
      <c r="A1076" t="str">
        <f>HYPERLINK("https://hsdes.intel.com/resource/14013178383","14013178383")</f>
        <v>14013178383</v>
      </c>
      <c r="B1076" t="s">
        <v>2772</v>
      </c>
      <c r="C1076" t="s">
        <v>2773</v>
      </c>
      <c r="D1076" t="s">
        <v>67</v>
      </c>
      <c r="E1076" t="s">
        <v>63</v>
      </c>
      <c r="F1076" t="s">
        <v>239</v>
      </c>
    </row>
    <row r="1077" spans="1:6" x14ac:dyDescent="0.3">
      <c r="A1077" t="str">
        <f>HYPERLINK("https://hsdes.intel.com/resource/14013178384","14013178384")</f>
        <v>14013178384</v>
      </c>
      <c r="B1077" t="s">
        <v>2774</v>
      </c>
      <c r="C1077" t="s">
        <v>2775</v>
      </c>
      <c r="D1077" t="s">
        <v>67</v>
      </c>
      <c r="E1077" t="s">
        <v>63</v>
      </c>
      <c r="F1077" t="s">
        <v>2776</v>
      </c>
    </row>
    <row r="1078" spans="1:6" x14ac:dyDescent="0.3">
      <c r="A1078" t="str">
        <f>HYPERLINK("https://hsdes.intel.com/resource/14013178394","14013178394")</f>
        <v>14013178394</v>
      </c>
      <c r="B1078" t="s">
        <v>2777</v>
      </c>
      <c r="C1078" t="s">
        <v>2778</v>
      </c>
      <c r="D1078" t="s">
        <v>22</v>
      </c>
      <c r="E1078" t="s">
        <v>80</v>
      </c>
      <c r="F1078" t="s">
        <v>1847</v>
      </c>
    </row>
    <row r="1079" spans="1:6" x14ac:dyDescent="0.3">
      <c r="A1079" t="str">
        <f>HYPERLINK("https://hsdes.intel.com/resource/14013178404","14013178404")</f>
        <v>14013178404</v>
      </c>
      <c r="B1079" t="s">
        <v>2779</v>
      </c>
      <c r="C1079" t="s">
        <v>2780</v>
      </c>
      <c r="D1079" t="s">
        <v>22</v>
      </c>
      <c r="E1079" t="s">
        <v>80</v>
      </c>
      <c r="F1079" t="s">
        <v>294</v>
      </c>
    </row>
    <row r="1080" spans="1:6" x14ac:dyDescent="0.3">
      <c r="A1080" t="str">
        <f>HYPERLINK("https://hsdes.intel.com/resource/14013178417","14013178417")</f>
        <v>14013178417</v>
      </c>
      <c r="B1080" t="s">
        <v>2781</v>
      </c>
      <c r="C1080" t="s">
        <v>2782</v>
      </c>
      <c r="D1080" t="s">
        <v>67</v>
      </c>
      <c r="E1080" t="s">
        <v>30</v>
      </c>
      <c r="F1080" t="s">
        <v>2783</v>
      </c>
    </row>
    <row r="1081" spans="1:6" x14ac:dyDescent="0.3">
      <c r="A1081" t="str">
        <f>HYPERLINK("https://hsdes.intel.com/resource/14013178746","14013178746")</f>
        <v>14013178746</v>
      </c>
      <c r="B1081" t="s">
        <v>2784</v>
      </c>
      <c r="C1081" t="s">
        <v>2785</v>
      </c>
      <c r="D1081" t="s">
        <v>67</v>
      </c>
      <c r="E1081" t="s">
        <v>63</v>
      </c>
      <c r="F1081" t="s">
        <v>2786</v>
      </c>
    </row>
    <row r="1082" spans="1:6" x14ac:dyDescent="0.3">
      <c r="A1082" t="str">
        <f>HYPERLINK("https://hsdes.intel.com/resource/14013178749","14013178749")</f>
        <v>14013178749</v>
      </c>
      <c r="B1082" t="s">
        <v>2787</v>
      </c>
      <c r="C1082" t="s">
        <v>2788</v>
      </c>
      <c r="D1082" t="s">
        <v>67</v>
      </c>
      <c r="E1082" t="s">
        <v>63</v>
      </c>
      <c r="F1082" t="s">
        <v>2786</v>
      </c>
    </row>
    <row r="1083" spans="1:6" x14ac:dyDescent="0.3">
      <c r="A1083" t="str">
        <f>HYPERLINK("https://hsdes.intel.com/resource/14013178755","14013178755")</f>
        <v>14013178755</v>
      </c>
      <c r="B1083" t="s">
        <v>2789</v>
      </c>
      <c r="C1083" t="s">
        <v>2790</v>
      </c>
      <c r="D1083" t="s">
        <v>67</v>
      </c>
      <c r="E1083" t="s">
        <v>63</v>
      </c>
      <c r="F1083" t="s">
        <v>2791</v>
      </c>
    </row>
    <row r="1084" spans="1:6" x14ac:dyDescent="0.3">
      <c r="A1084" t="str">
        <f>HYPERLINK("https://hsdes.intel.com/resource/14013178770","14013178770")</f>
        <v>14013178770</v>
      </c>
      <c r="B1084" t="s">
        <v>2792</v>
      </c>
      <c r="C1084" t="s">
        <v>2793</v>
      </c>
      <c r="D1084" t="s">
        <v>67</v>
      </c>
      <c r="E1084" t="s">
        <v>63</v>
      </c>
      <c r="F1084" t="s">
        <v>2794</v>
      </c>
    </row>
    <row r="1085" spans="1:6" x14ac:dyDescent="0.3">
      <c r="A1085" t="str">
        <f>HYPERLINK("https://hsdes.intel.com/resource/14013178799","14013178799")</f>
        <v>14013178799</v>
      </c>
      <c r="B1085" t="s">
        <v>2795</v>
      </c>
      <c r="C1085" t="s">
        <v>2796</v>
      </c>
      <c r="D1085" t="s">
        <v>67</v>
      </c>
      <c r="E1085" t="s">
        <v>63</v>
      </c>
      <c r="F1085" t="s">
        <v>2786</v>
      </c>
    </row>
    <row r="1086" spans="1:6" x14ac:dyDescent="0.3">
      <c r="A1086" t="str">
        <f>HYPERLINK("https://hsdes.intel.com/resource/14013178873","14013178873")</f>
        <v>14013178873</v>
      </c>
      <c r="B1086" t="s">
        <v>2797</v>
      </c>
      <c r="C1086" t="s">
        <v>2798</v>
      </c>
      <c r="D1086" t="s">
        <v>67</v>
      </c>
      <c r="E1086" t="s">
        <v>63</v>
      </c>
      <c r="F1086" t="s">
        <v>2685</v>
      </c>
    </row>
    <row r="1087" spans="1:6" x14ac:dyDescent="0.3">
      <c r="A1087" t="str">
        <f>HYPERLINK("https://hsdes.intel.com/resource/14013178883","14013178883")</f>
        <v>14013178883</v>
      </c>
      <c r="B1087" t="s">
        <v>2799</v>
      </c>
      <c r="C1087" t="s">
        <v>2800</v>
      </c>
      <c r="D1087" t="s">
        <v>22</v>
      </c>
      <c r="E1087" t="s">
        <v>18</v>
      </c>
      <c r="F1087" t="s">
        <v>236</v>
      </c>
    </row>
    <row r="1088" spans="1:6" x14ac:dyDescent="0.3">
      <c r="A1088" t="str">
        <f>HYPERLINK("https://hsdes.intel.com/resource/14013178885","14013178885")</f>
        <v>14013178885</v>
      </c>
      <c r="B1088" t="s">
        <v>2801</v>
      </c>
      <c r="C1088" t="s">
        <v>2802</v>
      </c>
      <c r="D1088" t="s">
        <v>22</v>
      </c>
      <c r="E1088" t="s">
        <v>2803</v>
      </c>
      <c r="F1088" t="s">
        <v>239</v>
      </c>
    </row>
    <row r="1089" spans="1:6" x14ac:dyDescent="0.3">
      <c r="A1089" t="str">
        <f>HYPERLINK("https://hsdes.intel.com/resource/14013178901","14013178901")</f>
        <v>14013178901</v>
      </c>
      <c r="B1089" t="s">
        <v>2804</v>
      </c>
      <c r="C1089" t="s">
        <v>2805</v>
      </c>
      <c r="D1089" t="s">
        <v>22</v>
      </c>
      <c r="E1089" t="s">
        <v>63</v>
      </c>
      <c r="F1089" t="s">
        <v>236</v>
      </c>
    </row>
    <row r="1090" spans="1:6" x14ac:dyDescent="0.3">
      <c r="A1090" t="str">
        <f>HYPERLINK("https://hsdes.intel.com/resource/14013178908","14013178908")</f>
        <v>14013178908</v>
      </c>
      <c r="B1090" t="s">
        <v>2806</v>
      </c>
      <c r="C1090" t="s">
        <v>2807</v>
      </c>
      <c r="D1090" t="s">
        <v>142</v>
      </c>
      <c r="E1090" t="s">
        <v>63</v>
      </c>
      <c r="F1090" t="s">
        <v>506</v>
      </c>
    </row>
    <row r="1091" spans="1:6" x14ac:dyDescent="0.3">
      <c r="A1091" t="str">
        <f>HYPERLINK("https://hsdes.intel.com/resource/14013178913","14013178913")</f>
        <v>14013178913</v>
      </c>
      <c r="B1091" t="s">
        <v>2808</v>
      </c>
      <c r="C1091" t="s">
        <v>2809</v>
      </c>
      <c r="D1091" t="s">
        <v>142</v>
      </c>
      <c r="E1091" t="s">
        <v>63</v>
      </c>
      <c r="F1091" t="s">
        <v>594</v>
      </c>
    </row>
    <row r="1092" spans="1:6" x14ac:dyDescent="0.3">
      <c r="A1092" t="str">
        <f>HYPERLINK("https://hsdes.intel.com/resource/14013178916","14013178916")</f>
        <v>14013178916</v>
      </c>
      <c r="B1092" t="s">
        <v>2810</v>
      </c>
      <c r="C1092" t="s">
        <v>2811</v>
      </c>
      <c r="D1092" t="s">
        <v>142</v>
      </c>
      <c r="E1092" t="s">
        <v>63</v>
      </c>
      <c r="F1092" t="s">
        <v>2812</v>
      </c>
    </row>
    <row r="1093" spans="1:6" x14ac:dyDescent="0.3">
      <c r="A1093" t="str">
        <f>HYPERLINK("https://hsdes.intel.com/resource/14013178922","14013178922")</f>
        <v>14013178922</v>
      </c>
      <c r="B1093" t="s">
        <v>2813</v>
      </c>
      <c r="C1093" t="s">
        <v>2814</v>
      </c>
      <c r="D1093" t="s">
        <v>17</v>
      </c>
      <c r="E1093" t="s">
        <v>30</v>
      </c>
      <c r="F1093" t="s">
        <v>287</v>
      </c>
    </row>
    <row r="1094" spans="1:6" x14ac:dyDescent="0.3">
      <c r="A1094" t="str">
        <f>HYPERLINK("https://hsdes.intel.com/resource/14013178933","14013178933")</f>
        <v>14013178933</v>
      </c>
      <c r="B1094" t="s">
        <v>2815</v>
      </c>
      <c r="C1094" t="s">
        <v>2816</v>
      </c>
      <c r="D1094" t="s">
        <v>62</v>
      </c>
      <c r="E1094" t="s">
        <v>2480</v>
      </c>
      <c r="F1094" t="s">
        <v>2817</v>
      </c>
    </row>
    <row r="1095" spans="1:6" x14ac:dyDescent="0.3">
      <c r="A1095" t="str">
        <f>HYPERLINK("https://hsdes.intel.com/resource/14013178938","14013178938")</f>
        <v>14013178938</v>
      </c>
      <c r="B1095" t="s">
        <v>2818</v>
      </c>
      <c r="C1095" t="s">
        <v>2819</v>
      </c>
      <c r="D1095" t="s">
        <v>62</v>
      </c>
      <c r="E1095" t="s">
        <v>2480</v>
      </c>
      <c r="F1095" t="s">
        <v>2820</v>
      </c>
    </row>
    <row r="1096" spans="1:6" x14ac:dyDescent="0.3">
      <c r="A1096" t="str">
        <f>HYPERLINK("https://hsdes.intel.com/resource/14013178942","14013178942")</f>
        <v>14013178942</v>
      </c>
      <c r="B1096" t="s">
        <v>2821</v>
      </c>
      <c r="C1096" t="s">
        <v>2822</v>
      </c>
      <c r="D1096" t="s">
        <v>62</v>
      </c>
      <c r="E1096" t="s">
        <v>2823</v>
      </c>
      <c r="F1096" t="s">
        <v>2820</v>
      </c>
    </row>
    <row r="1097" spans="1:6" x14ac:dyDescent="0.3">
      <c r="A1097" t="str">
        <f>HYPERLINK("https://hsdes.intel.com/resource/14013178949","14013178949")</f>
        <v>14013178949</v>
      </c>
      <c r="B1097" t="s">
        <v>2824</v>
      </c>
      <c r="C1097" t="s">
        <v>2825</v>
      </c>
      <c r="D1097" t="s">
        <v>62</v>
      </c>
      <c r="E1097" t="s">
        <v>63</v>
      </c>
      <c r="F1097" t="s">
        <v>531</v>
      </c>
    </row>
    <row r="1098" spans="1:6" x14ac:dyDescent="0.3">
      <c r="A1098" t="str">
        <f>HYPERLINK("https://hsdes.intel.com/resource/14013178954","14013178954")</f>
        <v>14013178954</v>
      </c>
      <c r="B1098" t="s">
        <v>2826</v>
      </c>
      <c r="C1098" t="s">
        <v>2827</v>
      </c>
      <c r="D1098" t="s">
        <v>62</v>
      </c>
      <c r="E1098" t="s">
        <v>63</v>
      </c>
      <c r="F1098" t="s">
        <v>531</v>
      </c>
    </row>
    <row r="1099" spans="1:6" x14ac:dyDescent="0.3">
      <c r="A1099" t="str">
        <f>HYPERLINK("https://hsdes.intel.com/resource/14013178960","14013178960")</f>
        <v>14013178960</v>
      </c>
      <c r="B1099" t="s">
        <v>2828</v>
      </c>
      <c r="C1099" t="s">
        <v>2829</v>
      </c>
      <c r="D1099" t="s">
        <v>22</v>
      </c>
      <c r="E1099" t="s">
        <v>2803</v>
      </c>
      <c r="F1099" t="s">
        <v>294</v>
      </c>
    </row>
    <row r="1100" spans="1:6" x14ac:dyDescent="0.3">
      <c r="A1100" t="str">
        <f>HYPERLINK("https://hsdes.intel.com/resource/14013178963","14013178963")</f>
        <v>14013178963</v>
      </c>
      <c r="B1100" t="s">
        <v>2830</v>
      </c>
      <c r="C1100" t="s">
        <v>2831</v>
      </c>
      <c r="D1100" t="s">
        <v>22</v>
      </c>
      <c r="E1100" t="s">
        <v>63</v>
      </c>
      <c r="F1100" t="s">
        <v>236</v>
      </c>
    </row>
    <row r="1101" spans="1:6" x14ac:dyDescent="0.3">
      <c r="A1101" t="str">
        <f>HYPERLINK("https://hsdes.intel.com/resource/14013179011","14013179011")</f>
        <v>14013179011</v>
      </c>
      <c r="B1101" t="s">
        <v>2832</v>
      </c>
      <c r="C1101" t="s">
        <v>2833</v>
      </c>
      <c r="D1101" t="s">
        <v>67</v>
      </c>
      <c r="E1101" t="s">
        <v>18</v>
      </c>
      <c r="F1101" t="s">
        <v>2834</v>
      </c>
    </row>
    <row r="1102" spans="1:6" x14ac:dyDescent="0.3">
      <c r="A1102" t="str">
        <f>HYPERLINK("https://hsdes.intel.com/resource/14013179039","14013179039")</f>
        <v>14013179039</v>
      </c>
      <c r="B1102" t="s">
        <v>2835</v>
      </c>
      <c r="C1102" t="s">
        <v>2836</v>
      </c>
      <c r="D1102" t="s">
        <v>67</v>
      </c>
      <c r="E1102" t="s">
        <v>63</v>
      </c>
      <c r="F1102" t="s">
        <v>2794</v>
      </c>
    </row>
    <row r="1103" spans="1:6" x14ac:dyDescent="0.3">
      <c r="A1103" t="str">
        <f>HYPERLINK("https://hsdes.intel.com/resource/14013179044","14013179044")</f>
        <v>14013179044</v>
      </c>
      <c r="B1103" t="s">
        <v>2837</v>
      </c>
      <c r="C1103" t="s">
        <v>2838</v>
      </c>
      <c r="D1103" t="s">
        <v>67</v>
      </c>
      <c r="E1103" t="s">
        <v>63</v>
      </c>
      <c r="F1103" t="s">
        <v>2794</v>
      </c>
    </row>
    <row r="1104" spans="1:6" x14ac:dyDescent="0.3">
      <c r="A1104" t="str">
        <f>HYPERLINK("https://hsdes.intel.com/resource/14013179046","14013179046")</f>
        <v>14013179046</v>
      </c>
      <c r="B1104" t="s">
        <v>2839</v>
      </c>
      <c r="C1104" t="s">
        <v>2840</v>
      </c>
      <c r="D1104" t="s">
        <v>62</v>
      </c>
      <c r="E1104" t="s">
        <v>63</v>
      </c>
      <c r="F1104" t="s">
        <v>2841</v>
      </c>
    </row>
    <row r="1105" spans="1:6" x14ac:dyDescent="0.3">
      <c r="A1105" t="str">
        <f>HYPERLINK("https://hsdes.intel.com/resource/14013179066","14013179066")</f>
        <v>14013179066</v>
      </c>
      <c r="B1105" t="s">
        <v>2842</v>
      </c>
      <c r="C1105" t="s">
        <v>2843</v>
      </c>
      <c r="D1105" t="s">
        <v>142</v>
      </c>
      <c r="E1105" t="s">
        <v>63</v>
      </c>
      <c r="F1105" t="s">
        <v>1419</v>
      </c>
    </row>
    <row r="1106" spans="1:6" x14ac:dyDescent="0.3">
      <c r="A1106" t="str">
        <f>HYPERLINK("https://hsdes.intel.com/resource/14013179076","14013179076")</f>
        <v>14013179076</v>
      </c>
      <c r="B1106" t="s">
        <v>2844</v>
      </c>
      <c r="C1106" t="s">
        <v>2845</v>
      </c>
      <c r="D1106" t="s">
        <v>142</v>
      </c>
      <c r="E1106" t="s">
        <v>2846</v>
      </c>
      <c r="F1106" t="s">
        <v>2847</v>
      </c>
    </row>
    <row r="1107" spans="1:6" x14ac:dyDescent="0.3">
      <c r="A1107" t="str">
        <f>HYPERLINK("https://hsdes.intel.com/resource/14013179078","14013179078")</f>
        <v>14013179078</v>
      </c>
      <c r="B1107" t="s">
        <v>2848</v>
      </c>
      <c r="C1107" t="s">
        <v>2849</v>
      </c>
      <c r="D1107" t="s">
        <v>62</v>
      </c>
      <c r="E1107" t="s">
        <v>2192</v>
      </c>
      <c r="F1107" t="s">
        <v>2850</v>
      </c>
    </row>
    <row r="1108" spans="1:6" x14ac:dyDescent="0.3">
      <c r="A1108" t="str">
        <f>HYPERLINK("https://hsdes.intel.com/resource/14013179082","14013179082")</f>
        <v>14013179082</v>
      </c>
      <c r="B1108" t="s">
        <v>2851</v>
      </c>
      <c r="C1108" t="s">
        <v>2852</v>
      </c>
      <c r="D1108" t="s">
        <v>142</v>
      </c>
      <c r="E1108" t="s">
        <v>730</v>
      </c>
      <c r="F1108" t="s">
        <v>2853</v>
      </c>
    </row>
    <row r="1109" spans="1:6" x14ac:dyDescent="0.3">
      <c r="A1109" t="str">
        <f>HYPERLINK("https://hsdes.intel.com/resource/14013179088","14013179088")</f>
        <v>14013179088</v>
      </c>
      <c r="B1109" t="s">
        <v>2854</v>
      </c>
      <c r="C1109" t="s">
        <v>2855</v>
      </c>
      <c r="D1109" t="s">
        <v>142</v>
      </c>
      <c r="E1109" t="s">
        <v>63</v>
      </c>
      <c r="F1109" t="s">
        <v>2856</v>
      </c>
    </row>
    <row r="1110" spans="1:6" x14ac:dyDescent="0.3">
      <c r="A1110" t="str">
        <f>HYPERLINK("https://hsdes.intel.com/resource/14013179099","14013179099")</f>
        <v>14013179099</v>
      </c>
      <c r="B1110" t="s">
        <v>2857</v>
      </c>
      <c r="C1110" t="s">
        <v>2858</v>
      </c>
      <c r="D1110" t="s">
        <v>62</v>
      </c>
      <c r="E1110" t="s">
        <v>89</v>
      </c>
      <c r="F1110" t="s">
        <v>2859</v>
      </c>
    </row>
    <row r="1111" spans="1:6" x14ac:dyDescent="0.3">
      <c r="A1111" t="str">
        <f>HYPERLINK("https://hsdes.intel.com/resource/14013179113","14013179113")</f>
        <v>14013179113</v>
      </c>
      <c r="B1111" t="s">
        <v>2860</v>
      </c>
      <c r="C1111" t="s">
        <v>2861</v>
      </c>
      <c r="D1111" t="s">
        <v>142</v>
      </c>
      <c r="E1111" t="s">
        <v>63</v>
      </c>
      <c r="F1111" t="s">
        <v>2856</v>
      </c>
    </row>
    <row r="1112" spans="1:6" x14ac:dyDescent="0.3">
      <c r="A1112" t="str">
        <f>HYPERLINK("https://hsdes.intel.com/resource/14013179120","14013179120")</f>
        <v>14013179120</v>
      </c>
      <c r="B1112" t="s">
        <v>2862</v>
      </c>
      <c r="C1112" t="s">
        <v>2863</v>
      </c>
      <c r="D1112" t="s">
        <v>142</v>
      </c>
      <c r="E1112" t="s">
        <v>63</v>
      </c>
      <c r="F1112" t="s">
        <v>2397</v>
      </c>
    </row>
    <row r="1113" spans="1:6" x14ac:dyDescent="0.3">
      <c r="A1113" t="str">
        <f>HYPERLINK("https://hsdes.intel.com/resource/14013179135","14013179135")</f>
        <v>14013179135</v>
      </c>
      <c r="B1113" t="s">
        <v>2864</v>
      </c>
      <c r="C1113" t="s">
        <v>2865</v>
      </c>
      <c r="D1113" t="s">
        <v>62</v>
      </c>
      <c r="E1113" t="s">
        <v>30</v>
      </c>
      <c r="F1113" t="s">
        <v>2394</v>
      </c>
    </row>
    <row r="1114" spans="1:6" x14ac:dyDescent="0.3">
      <c r="A1114" t="str">
        <f>HYPERLINK("https://hsdes.intel.com/resource/14013179137","14013179137")</f>
        <v>14013179137</v>
      </c>
      <c r="B1114" t="s">
        <v>2866</v>
      </c>
      <c r="C1114" t="s">
        <v>2867</v>
      </c>
      <c r="D1114" t="s">
        <v>62</v>
      </c>
      <c r="E1114" t="s">
        <v>63</v>
      </c>
      <c r="F1114" t="s">
        <v>2397</v>
      </c>
    </row>
    <row r="1115" spans="1:6" x14ac:dyDescent="0.3">
      <c r="A1115" t="str">
        <f>HYPERLINK("https://hsdes.intel.com/resource/14013179154","14013179154")</f>
        <v>14013179154</v>
      </c>
      <c r="B1115" t="s">
        <v>2868</v>
      </c>
      <c r="C1115" t="s">
        <v>2869</v>
      </c>
      <c r="D1115" t="s">
        <v>62</v>
      </c>
      <c r="E1115" t="s">
        <v>63</v>
      </c>
      <c r="F1115" t="s">
        <v>2397</v>
      </c>
    </row>
    <row r="1116" spans="1:6" x14ac:dyDescent="0.3">
      <c r="A1116" t="str">
        <f>HYPERLINK("https://hsdes.intel.com/resource/14013179160","14013179160")</f>
        <v>14013179160</v>
      </c>
      <c r="B1116" t="s">
        <v>2870</v>
      </c>
      <c r="C1116" t="s">
        <v>2871</v>
      </c>
      <c r="D1116" t="s">
        <v>62</v>
      </c>
      <c r="E1116" t="s">
        <v>2480</v>
      </c>
      <c r="F1116" t="s">
        <v>2872</v>
      </c>
    </row>
    <row r="1117" spans="1:6" x14ac:dyDescent="0.3">
      <c r="A1117" t="str">
        <f>HYPERLINK("https://hsdes.intel.com/resource/14013179182","14013179182")</f>
        <v>14013179182</v>
      </c>
      <c r="B1117" t="s">
        <v>2873</v>
      </c>
      <c r="C1117" t="s">
        <v>2874</v>
      </c>
      <c r="D1117" t="s">
        <v>6</v>
      </c>
      <c r="E1117" t="s">
        <v>212</v>
      </c>
      <c r="F1117" t="s">
        <v>2875</v>
      </c>
    </row>
    <row r="1118" spans="1:6" x14ac:dyDescent="0.3">
      <c r="A1118" t="str">
        <f>HYPERLINK("https://hsdes.intel.com/resource/14013179185","14013179185")</f>
        <v>14013179185</v>
      </c>
      <c r="B1118" t="s">
        <v>2876</v>
      </c>
      <c r="C1118" t="s">
        <v>2877</v>
      </c>
      <c r="D1118" t="s">
        <v>142</v>
      </c>
      <c r="E1118" t="s">
        <v>63</v>
      </c>
      <c r="F1118" t="s">
        <v>2878</v>
      </c>
    </row>
    <row r="1119" spans="1:6" x14ac:dyDescent="0.3">
      <c r="A1119" t="str">
        <f>HYPERLINK("https://hsdes.intel.com/resource/14013179187","14013179187")</f>
        <v>14013179187</v>
      </c>
      <c r="B1119" t="s">
        <v>2879</v>
      </c>
      <c r="C1119" t="s">
        <v>2880</v>
      </c>
      <c r="D1119" t="s">
        <v>142</v>
      </c>
      <c r="E1119" t="s">
        <v>63</v>
      </c>
      <c r="F1119" t="s">
        <v>2878</v>
      </c>
    </row>
    <row r="1120" spans="1:6" x14ac:dyDescent="0.3">
      <c r="A1120" t="str">
        <f>HYPERLINK("https://hsdes.intel.com/resource/14013179188","14013179188")</f>
        <v>14013179188</v>
      </c>
      <c r="B1120" t="s">
        <v>2881</v>
      </c>
      <c r="C1120" t="s">
        <v>2882</v>
      </c>
      <c r="D1120" t="s">
        <v>6</v>
      </c>
      <c r="E1120" t="s">
        <v>212</v>
      </c>
      <c r="F1120" t="s">
        <v>2883</v>
      </c>
    </row>
    <row r="1121" spans="1:6" x14ac:dyDescent="0.3">
      <c r="A1121" t="str">
        <f>HYPERLINK("https://hsdes.intel.com/resource/14013179192","14013179192")</f>
        <v>14013179192</v>
      </c>
      <c r="B1121" t="s">
        <v>2884</v>
      </c>
      <c r="C1121" t="s">
        <v>2885</v>
      </c>
      <c r="D1121" t="s">
        <v>22</v>
      </c>
      <c r="E1121" t="s">
        <v>172</v>
      </c>
      <c r="F1121" t="s">
        <v>236</v>
      </c>
    </row>
    <row r="1122" spans="1:6" x14ac:dyDescent="0.3">
      <c r="A1122" t="str">
        <f>HYPERLINK("https://hsdes.intel.com/resource/14013179201","14013179201")</f>
        <v>14013179201</v>
      </c>
      <c r="B1122" t="s">
        <v>2886</v>
      </c>
      <c r="C1122" t="s">
        <v>2887</v>
      </c>
      <c r="D1122" t="s">
        <v>22</v>
      </c>
      <c r="E1122" t="s">
        <v>80</v>
      </c>
      <c r="F1122" t="s">
        <v>2888</v>
      </c>
    </row>
    <row r="1123" spans="1:6" x14ac:dyDescent="0.3">
      <c r="A1123" t="str">
        <f>HYPERLINK("https://hsdes.intel.com/resource/14013179301","14013179301")</f>
        <v>14013179301</v>
      </c>
      <c r="B1123" t="s">
        <v>2889</v>
      </c>
      <c r="C1123" t="s">
        <v>2890</v>
      </c>
      <c r="D1123" t="s">
        <v>142</v>
      </c>
      <c r="E1123" t="s">
        <v>63</v>
      </c>
      <c r="F1123" t="s">
        <v>19</v>
      </c>
    </row>
    <row r="1124" spans="1:6" x14ac:dyDescent="0.3">
      <c r="A1124" t="str">
        <f>HYPERLINK("https://hsdes.intel.com/resource/14013179352","14013179352")</f>
        <v>14013179352</v>
      </c>
      <c r="B1124" t="s">
        <v>2891</v>
      </c>
      <c r="C1124" t="s">
        <v>2892</v>
      </c>
      <c r="D1124" t="s">
        <v>17</v>
      </c>
      <c r="E1124" t="s">
        <v>30</v>
      </c>
      <c r="F1124" t="s">
        <v>225</v>
      </c>
    </row>
    <row r="1125" spans="1:6" x14ac:dyDescent="0.3">
      <c r="A1125" t="str">
        <f>HYPERLINK("https://hsdes.intel.com/resource/14013179362","14013179362")</f>
        <v>14013179362</v>
      </c>
      <c r="B1125" t="s">
        <v>2893</v>
      </c>
      <c r="C1125" t="s">
        <v>2894</v>
      </c>
      <c r="D1125" t="s">
        <v>17</v>
      </c>
      <c r="E1125" t="s">
        <v>30</v>
      </c>
      <c r="F1125" t="s">
        <v>2895</v>
      </c>
    </row>
    <row r="1126" spans="1:6" x14ac:dyDescent="0.3">
      <c r="A1126" t="str">
        <f>HYPERLINK("https://hsdes.intel.com/resource/14013179370","14013179370")</f>
        <v>14013179370</v>
      </c>
      <c r="B1126" t="s">
        <v>2896</v>
      </c>
      <c r="C1126" t="s">
        <v>2897</v>
      </c>
      <c r="D1126" t="s">
        <v>17</v>
      </c>
      <c r="E1126" t="s">
        <v>30</v>
      </c>
      <c r="F1126" t="s">
        <v>127</v>
      </c>
    </row>
    <row r="1127" spans="1:6" x14ac:dyDescent="0.3">
      <c r="A1127" t="str">
        <f>HYPERLINK("https://hsdes.intel.com/resource/14013179407","14013179407")</f>
        <v>14013179407</v>
      </c>
      <c r="B1127" t="s">
        <v>2898</v>
      </c>
      <c r="C1127" t="s">
        <v>2899</v>
      </c>
      <c r="D1127" t="s">
        <v>142</v>
      </c>
      <c r="E1127" t="s">
        <v>730</v>
      </c>
      <c r="F1127" t="s">
        <v>2900</v>
      </c>
    </row>
    <row r="1128" spans="1:6" x14ac:dyDescent="0.3">
      <c r="A1128" t="str">
        <f>HYPERLINK("https://hsdes.intel.com/resource/14013179413","14013179413")</f>
        <v>14013179413</v>
      </c>
      <c r="B1128" t="s">
        <v>2901</v>
      </c>
      <c r="C1128" t="s">
        <v>2902</v>
      </c>
      <c r="D1128" t="s">
        <v>142</v>
      </c>
      <c r="E1128" t="s">
        <v>2823</v>
      </c>
      <c r="F1128" t="s">
        <v>2903</v>
      </c>
    </row>
    <row r="1129" spans="1:6" x14ac:dyDescent="0.3">
      <c r="A1129" t="str">
        <f>HYPERLINK("https://hsdes.intel.com/resource/14013179427","14013179427")</f>
        <v>14013179427</v>
      </c>
      <c r="B1129" t="s">
        <v>2904</v>
      </c>
      <c r="C1129" t="s">
        <v>2905</v>
      </c>
      <c r="D1129" t="s">
        <v>142</v>
      </c>
      <c r="E1129" t="s">
        <v>2665</v>
      </c>
      <c r="F1129" t="s">
        <v>2906</v>
      </c>
    </row>
    <row r="1130" spans="1:6" x14ac:dyDescent="0.3">
      <c r="A1130" t="str">
        <f>HYPERLINK("https://hsdes.intel.com/resource/14013179431","14013179431")</f>
        <v>14013179431</v>
      </c>
      <c r="B1130" t="s">
        <v>2907</v>
      </c>
      <c r="C1130" t="s">
        <v>2908</v>
      </c>
      <c r="D1130" t="s">
        <v>142</v>
      </c>
      <c r="E1130" t="s">
        <v>63</v>
      </c>
      <c r="F1130" t="s">
        <v>2909</v>
      </c>
    </row>
    <row r="1131" spans="1:6" x14ac:dyDescent="0.3">
      <c r="A1131" t="str">
        <f>HYPERLINK("https://hsdes.intel.com/resource/14013179515","14013179515")</f>
        <v>14013179515</v>
      </c>
      <c r="B1131" t="s">
        <v>2910</v>
      </c>
      <c r="C1131" t="s">
        <v>2911</v>
      </c>
      <c r="D1131" t="s">
        <v>142</v>
      </c>
      <c r="E1131" t="s">
        <v>63</v>
      </c>
      <c r="F1131" t="s">
        <v>2912</v>
      </c>
    </row>
    <row r="1132" spans="1:6" x14ac:dyDescent="0.3">
      <c r="A1132" t="str">
        <f>HYPERLINK("https://hsdes.intel.com/resource/14013179580","14013179580")</f>
        <v>14013179580</v>
      </c>
      <c r="B1132" t="s">
        <v>2913</v>
      </c>
      <c r="C1132" t="s">
        <v>2914</v>
      </c>
      <c r="D1132" t="s">
        <v>29</v>
      </c>
      <c r="E1132" t="s">
        <v>2915</v>
      </c>
      <c r="F1132" t="s">
        <v>2916</v>
      </c>
    </row>
    <row r="1133" spans="1:6" x14ac:dyDescent="0.3">
      <c r="A1133" t="str">
        <f>HYPERLINK("https://hsdes.intel.com/resource/14013179689","14013179689")</f>
        <v>14013179689</v>
      </c>
      <c r="B1133" t="s">
        <v>2917</v>
      </c>
      <c r="C1133" t="s">
        <v>2918</v>
      </c>
      <c r="D1133" t="s">
        <v>6</v>
      </c>
      <c r="E1133" t="s">
        <v>1433</v>
      </c>
      <c r="F1133" t="s">
        <v>2919</v>
      </c>
    </row>
    <row r="1134" spans="1:6" x14ac:dyDescent="0.3">
      <c r="A1134" t="str">
        <f>HYPERLINK("https://hsdes.intel.com/resource/14013179691","14013179691")</f>
        <v>14013179691</v>
      </c>
      <c r="B1134" t="s">
        <v>2920</v>
      </c>
      <c r="C1134" t="s">
        <v>2921</v>
      </c>
      <c r="D1134" t="s">
        <v>6</v>
      </c>
      <c r="E1134" t="s">
        <v>30</v>
      </c>
      <c r="F1134" t="s">
        <v>8</v>
      </c>
    </row>
    <row r="1135" spans="1:6" x14ac:dyDescent="0.3">
      <c r="A1135" t="str">
        <f>HYPERLINK("https://hsdes.intel.com/resource/14013179692","14013179692")</f>
        <v>14013179692</v>
      </c>
      <c r="B1135" t="s">
        <v>2922</v>
      </c>
      <c r="C1135" t="s">
        <v>2923</v>
      </c>
      <c r="D1135" t="s">
        <v>6</v>
      </c>
      <c r="E1135" t="s">
        <v>30</v>
      </c>
      <c r="F1135" t="s">
        <v>8</v>
      </c>
    </row>
    <row r="1136" spans="1:6" x14ac:dyDescent="0.3">
      <c r="A1136" t="str">
        <f>HYPERLINK("https://hsdes.intel.com/resource/14013179698","14013179698")</f>
        <v>14013179698</v>
      </c>
      <c r="B1136" t="s">
        <v>2924</v>
      </c>
      <c r="C1136" t="s">
        <v>2925</v>
      </c>
      <c r="D1136" t="s">
        <v>22</v>
      </c>
      <c r="E1136" t="s">
        <v>203</v>
      </c>
      <c r="F1136" t="s">
        <v>2926</v>
      </c>
    </row>
    <row r="1137" spans="1:6" x14ac:dyDescent="0.3">
      <c r="A1137" t="str">
        <f>HYPERLINK("https://hsdes.intel.com/resource/14013179754","14013179754")</f>
        <v>14013179754</v>
      </c>
      <c r="B1137" t="s">
        <v>2927</v>
      </c>
      <c r="C1137" t="s">
        <v>2928</v>
      </c>
      <c r="D1137" t="s">
        <v>142</v>
      </c>
      <c r="E1137" t="s">
        <v>2665</v>
      </c>
      <c r="F1137" t="s">
        <v>2875</v>
      </c>
    </row>
    <row r="1138" spans="1:6" x14ac:dyDescent="0.3">
      <c r="A1138" t="str">
        <f>HYPERLINK("https://hsdes.intel.com/resource/14013179861","14013179861")</f>
        <v>14013179861</v>
      </c>
      <c r="B1138" t="s">
        <v>2929</v>
      </c>
      <c r="C1138" t="s">
        <v>2930</v>
      </c>
      <c r="D1138" t="s">
        <v>22</v>
      </c>
      <c r="E1138" t="s">
        <v>18</v>
      </c>
      <c r="F1138" t="s">
        <v>2931</v>
      </c>
    </row>
    <row r="1139" spans="1:6" x14ac:dyDescent="0.3">
      <c r="A1139" t="str">
        <f>HYPERLINK("https://hsdes.intel.com/resource/14013179900","14013179900")</f>
        <v>14013179900</v>
      </c>
      <c r="B1139" t="s">
        <v>2932</v>
      </c>
      <c r="C1139" t="s">
        <v>2933</v>
      </c>
      <c r="D1139" t="s">
        <v>62</v>
      </c>
      <c r="E1139" t="s">
        <v>2934</v>
      </c>
      <c r="F1139" t="s">
        <v>2935</v>
      </c>
    </row>
    <row r="1140" spans="1:6" x14ac:dyDescent="0.3">
      <c r="A1140" t="str">
        <f>HYPERLINK("https://hsdes.intel.com/resource/14013179902","14013179902")</f>
        <v>14013179902</v>
      </c>
      <c r="B1140" t="s">
        <v>2936</v>
      </c>
      <c r="C1140" t="s">
        <v>2937</v>
      </c>
      <c r="D1140" t="s">
        <v>6</v>
      </c>
      <c r="E1140" t="s">
        <v>2938</v>
      </c>
      <c r="F1140" t="s">
        <v>2110</v>
      </c>
    </row>
    <row r="1141" spans="1:6" x14ac:dyDescent="0.3">
      <c r="A1141" t="str">
        <f>HYPERLINK("https://hsdes.intel.com/resource/14013179993","14013179993")</f>
        <v>14013179993</v>
      </c>
      <c r="B1141" t="s">
        <v>2939</v>
      </c>
      <c r="C1141" t="s">
        <v>2940</v>
      </c>
      <c r="D1141" t="s">
        <v>17</v>
      </c>
      <c r="E1141" t="s">
        <v>30</v>
      </c>
      <c r="F1141" t="s">
        <v>1361</v>
      </c>
    </row>
    <row r="1142" spans="1:6" x14ac:dyDescent="0.3">
      <c r="A1142" t="str">
        <f>HYPERLINK("https://hsdes.intel.com/resource/14013179998","14013179998")</f>
        <v>14013179998</v>
      </c>
      <c r="B1142" t="s">
        <v>2941</v>
      </c>
      <c r="C1142" t="s">
        <v>2942</v>
      </c>
      <c r="D1142" t="s">
        <v>62</v>
      </c>
      <c r="E1142" t="s">
        <v>7</v>
      </c>
      <c r="F1142" t="s">
        <v>2943</v>
      </c>
    </row>
    <row r="1143" spans="1:6" x14ac:dyDescent="0.3">
      <c r="A1143" t="str">
        <f>HYPERLINK("https://hsdes.intel.com/resource/14013180090","14013180090")</f>
        <v>14013180090</v>
      </c>
      <c r="B1143" t="s">
        <v>2944</v>
      </c>
      <c r="C1143" t="s">
        <v>2945</v>
      </c>
      <c r="D1143" t="s">
        <v>29</v>
      </c>
      <c r="E1143" t="s">
        <v>232</v>
      </c>
      <c r="F1143" t="s">
        <v>2946</v>
      </c>
    </row>
    <row r="1144" spans="1:6" x14ac:dyDescent="0.3">
      <c r="A1144" t="str">
        <f>HYPERLINK("https://hsdes.intel.com/resource/14013180134","14013180134")</f>
        <v>14013180134</v>
      </c>
      <c r="B1144" t="s">
        <v>2947</v>
      </c>
      <c r="C1144" t="s">
        <v>2948</v>
      </c>
      <c r="D1144" t="s">
        <v>29</v>
      </c>
      <c r="E1144" t="s">
        <v>232</v>
      </c>
      <c r="F1144" t="s">
        <v>2949</v>
      </c>
    </row>
    <row r="1145" spans="1:6" x14ac:dyDescent="0.3">
      <c r="A1145" t="str">
        <f>HYPERLINK("https://hsdes.intel.com/resource/14013180149","14013180149")</f>
        <v>14013180149</v>
      </c>
      <c r="B1145" t="s">
        <v>2950</v>
      </c>
      <c r="C1145" t="s">
        <v>2951</v>
      </c>
      <c r="D1145" t="s">
        <v>29</v>
      </c>
      <c r="E1145" t="s">
        <v>232</v>
      </c>
      <c r="F1145" t="s">
        <v>2952</v>
      </c>
    </row>
    <row r="1146" spans="1:6" x14ac:dyDescent="0.3">
      <c r="A1146" t="str">
        <f>HYPERLINK("https://hsdes.intel.com/resource/14013180187","14013180187")</f>
        <v>14013180187</v>
      </c>
      <c r="B1146" t="s">
        <v>2953</v>
      </c>
      <c r="C1146" t="s">
        <v>2954</v>
      </c>
      <c r="D1146" t="s">
        <v>29</v>
      </c>
      <c r="E1146" t="s">
        <v>232</v>
      </c>
      <c r="F1146" t="s">
        <v>2955</v>
      </c>
    </row>
    <row r="1147" spans="1:6" x14ac:dyDescent="0.3">
      <c r="A1147" t="str">
        <f>HYPERLINK("https://hsdes.intel.com/resource/14013180190","14013180190")</f>
        <v>14013180190</v>
      </c>
      <c r="B1147" t="s">
        <v>2956</v>
      </c>
      <c r="C1147" t="s">
        <v>2957</v>
      </c>
      <c r="D1147" t="s">
        <v>29</v>
      </c>
      <c r="E1147" t="s">
        <v>232</v>
      </c>
      <c r="F1147" t="s">
        <v>2958</v>
      </c>
    </row>
    <row r="1148" spans="1:6" x14ac:dyDescent="0.3">
      <c r="A1148" t="str">
        <f>HYPERLINK("https://hsdes.intel.com/resource/14013180191","14013180191")</f>
        <v>14013180191</v>
      </c>
      <c r="B1148" t="s">
        <v>2959</v>
      </c>
      <c r="C1148" t="s">
        <v>2960</v>
      </c>
      <c r="D1148" t="s">
        <v>29</v>
      </c>
      <c r="E1148" t="s">
        <v>232</v>
      </c>
      <c r="F1148" t="s">
        <v>2958</v>
      </c>
    </row>
    <row r="1149" spans="1:6" x14ac:dyDescent="0.3">
      <c r="A1149" t="str">
        <f>HYPERLINK("https://hsdes.intel.com/resource/14013180193","14013180193")</f>
        <v>14013180193</v>
      </c>
      <c r="B1149" t="s">
        <v>2961</v>
      </c>
      <c r="C1149" t="s">
        <v>2962</v>
      </c>
      <c r="D1149" t="s">
        <v>17</v>
      </c>
      <c r="E1149" t="s">
        <v>30</v>
      </c>
      <c r="F1149" t="s">
        <v>105</v>
      </c>
    </row>
    <row r="1150" spans="1:6" x14ac:dyDescent="0.3">
      <c r="A1150" t="str">
        <f>HYPERLINK("https://hsdes.intel.com/resource/14013180197","14013180197")</f>
        <v>14013180197</v>
      </c>
      <c r="B1150" t="s">
        <v>2963</v>
      </c>
      <c r="C1150" t="s">
        <v>2964</v>
      </c>
      <c r="D1150" t="s">
        <v>29</v>
      </c>
      <c r="E1150" t="s">
        <v>232</v>
      </c>
      <c r="F1150" t="s">
        <v>2965</v>
      </c>
    </row>
    <row r="1151" spans="1:6" x14ac:dyDescent="0.3">
      <c r="A1151" t="str">
        <f>HYPERLINK("https://hsdes.intel.com/resource/14013180214","14013180214")</f>
        <v>14013180214</v>
      </c>
      <c r="B1151" t="s">
        <v>2966</v>
      </c>
      <c r="C1151" t="s">
        <v>2967</v>
      </c>
      <c r="D1151" t="s">
        <v>29</v>
      </c>
      <c r="E1151" t="s">
        <v>232</v>
      </c>
      <c r="F1151" t="s">
        <v>2500</v>
      </c>
    </row>
    <row r="1152" spans="1:6" x14ac:dyDescent="0.3">
      <c r="A1152" t="str">
        <f>HYPERLINK("https://hsdes.intel.com/resource/14013180217","14013180217")</f>
        <v>14013180217</v>
      </c>
      <c r="B1152" t="s">
        <v>2968</v>
      </c>
      <c r="C1152" t="s">
        <v>2969</v>
      </c>
      <c r="D1152" t="s">
        <v>29</v>
      </c>
      <c r="E1152" t="s">
        <v>232</v>
      </c>
      <c r="F1152" t="s">
        <v>157</v>
      </c>
    </row>
    <row r="1153" spans="1:6" x14ac:dyDescent="0.3">
      <c r="A1153" t="str">
        <f>HYPERLINK("https://hsdes.intel.com/resource/14013180228","14013180228")</f>
        <v>14013180228</v>
      </c>
      <c r="B1153" t="s">
        <v>2970</v>
      </c>
      <c r="C1153" t="s">
        <v>2971</v>
      </c>
      <c r="D1153" t="s">
        <v>98</v>
      </c>
      <c r="E1153" t="s">
        <v>2972</v>
      </c>
      <c r="F1153" t="s">
        <v>2251</v>
      </c>
    </row>
    <row r="1154" spans="1:6" x14ac:dyDescent="0.3">
      <c r="A1154" t="str">
        <f>HYPERLINK("https://hsdes.intel.com/resource/14013180236","14013180236")</f>
        <v>14013180236</v>
      </c>
      <c r="B1154" t="s">
        <v>2973</v>
      </c>
      <c r="C1154" t="s">
        <v>2974</v>
      </c>
      <c r="D1154" t="s">
        <v>98</v>
      </c>
      <c r="E1154" t="s">
        <v>232</v>
      </c>
      <c r="F1154" t="s">
        <v>157</v>
      </c>
    </row>
    <row r="1155" spans="1:6" x14ac:dyDescent="0.3">
      <c r="A1155" t="str">
        <f>HYPERLINK("https://hsdes.intel.com/resource/14013180239","14013180239")</f>
        <v>14013180239</v>
      </c>
      <c r="B1155" t="s">
        <v>2975</v>
      </c>
      <c r="C1155" t="s">
        <v>2976</v>
      </c>
      <c r="D1155" t="s">
        <v>98</v>
      </c>
      <c r="E1155" t="s">
        <v>63</v>
      </c>
      <c r="F1155" t="s">
        <v>2977</v>
      </c>
    </row>
    <row r="1156" spans="1:6" x14ac:dyDescent="0.3">
      <c r="A1156" t="str">
        <f>HYPERLINK("https://hsdes.intel.com/resource/14013180247","14013180247")</f>
        <v>14013180247</v>
      </c>
      <c r="B1156" t="s">
        <v>2978</v>
      </c>
      <c r="C1156" t="s">
        <v>2979</v>
      </c>
      <c r="D1156" t="s">
        <v>98</v>
      </c>
      <c r="E1156" t="s">
        <v>232</v>
      </c>
      <c r="F1156" t="s">
        <v>2251</v>
      </c>
    </row>
    <row r="1157" spans="1:6" x14ac:dyDescent="0.3">
      <c r="A1157" t="str">
        <f>HYPERLINK("https://hsdes.intel.com/resource/14013180248","14013180248")</f>
        <v>14013180248</v>
      </c>
      <c r="B1157" t="s">
        <v>2980</v>
      </c>
      <c r="C1157" t="s">
        <v>2981</v>
      </c>
      <c r="D1157" t="s">
        <v>98</v>
      </c>
      <c r="E1157" t="s">
        <v>232</v>
      </c>
      <c r="F1157" t="s">
        <v>157</v>
      </c>
    </row>
    <row r="1158" spans="1:6" x14ac:dyDescent="0.3">
      <c r="A1158" t="str">
        <f>HYPERLINK("https://hsdes.intel.com/resource/14013180249","14013180249")</f>
        <v>14013180249</v>
      </c>
      <c r="B1158" t="s">
        <v>2982</v>
      </c>
      <c r="C1158" t="s">
        <v>2983</v>
      </c>
      <c r="D1158" t="s">
        <v>29</v>
      </c>
      <c r="E1158" t="s">
        <v>232</v>
      </c>
      <c r="F1158" t="s">
        <v>2984</v>
      </c>
    </row>
    <row r="1159" spans="1:6" x14ac:dyDescent="0.3">
      <c r="A1159" t="str">
        <f>HYPERLINK("https://hsdes.intel.com/resource/14013180250","14013180250")</f>
        <v>14013180250</v>
      </c>
      <c r="B1159" t="s">
        <v>2985</v>
      </c>
      <c r="C1159" t="s">
        <v>2986</v>
      </c>
      <c r="D1159" t="s">
        <v>29</v>
      </c>
      <c r="E1159" t="s">
        <v>232</v>
      </c>
      <c r="F1159" t="s">
        <v>2987</v>
      </c>
    </row>
    <row r="1160" spans="1:6" x14ac:dyDescent="0.3">
      <c r="A1160" t="str">
        <f>HYPERLINK("https://hsdes.intel.com/resource/14013180257","14013180257")</f>
        <v>14013180257</v>
      </c>
      <c r="B1160" t="s">
        <v>2988</v>
      </c>
      <c r="C1160" t="s">
        <v>2989</v>
      </c>
      <c r="D1160" t="s">
        <v>29</v>
      </c>
      <c r="E1160" t="s">
        <v>232</v>
      </c>
      <c r="F1160" t="s">
        <v>2990</v>
      </c>
    </row>
    <row r="1161" spans="1:6" x14ac:dyDescent="0.3">
      <c r="A1161" t="str">
        <f>HYPERLINK("https://hsdes.intel.com/resource/14013180261","14013180261")</f>
        <v>14013180261</v>
      </c>
      <c r="B1161" t="s">
        <v>2991</v>
      </c>
      <c r="C1161" t="s">
        <v>2992</v>
      </c>
      <c r="D1161" t="s">
        <v>29</v>
      </c>
      <c r="E1161" t="s">
        <v>232</v>
      </c>
      <c r="F1161" t="s">
        <v>2990</v>
      </c>
    </row>
    <row r="1162" spans="1:6" x14ac:dyDescent="0.3">
      <c r="A1162" t="str">
        <f>HYPERLINK("https://hsdes.intel.com/resource/14013180262","14013180262")</f>
        <v>14013180262</v>
      </c>
      <c r="B1162" t="s">
        <v>2993</v>
      </c>
      <c r="C1162" t="s">
        <v>2994</v>
      </c>
      <c r="D1162" t="s">
        <v>29</v>
      </c>
      <c r="E1162" t="s">
        <v>232</v>
      </c>
      <c r="F1162" t="s">
        <v>2990</v>
      </c>
    </row>
    <row r="1163" spans="1:6" x14ac:dyDescent="0.3">
      <c r="A1163" t="str">
        <f>HYPERLINK("https://hsdes.intel.com/resource/14013180263","14013180263")</f>
        <v>14013180263</v>
      </c>
      <c r="B1163" t="s">
        <v>2995</v>
      </c>
      <c r="C1163" t="s">
        <v>2996</v>
      </c>
      <c r="D1163" t="s">
        <v>29</v>
      </c>
      <c r="E1163" t="s">
        <v>246</v>
      </c>
      <c r="F1163" t="s">
        <v>2997</v>
      </c>
    </row>
    <row r="1164" spans="1:6" x14ac:dyDescent="0.3">
      <c r="A1164" t="str">
        <f>HYPERLINK("https://hsdes.intel.com/resource/14013180271","14013180271")</f>
        <v>14013180271</v>
      </c>
      <c r="B1164" t="s">
        <v>2998</v>
      </c>
      <c r="C1164" t="s">
        <v>2999</v>
      </c>
      <c r="D1164" t="s">
        <v>29</v>
      </c>
      <c r="E1164" t="s">
        <v>232</v>
      </c>
      <c r="F1164" t="s">
        <v>3000</v>
      </c>
    </row>
    <row r="1165" spans="1:6" x14ac:dyDescent="0.3">
      <c r="A1165" t="str">
        <f>HYPERLINK("https://hsdes.intel.com/resource/14013180283","14013180283")</f>
        <v>14013180283</v>
      </c>
      <c r="B1165" t="s">
        <v>3001</v>
      </c>
      <c r="C1165" t="s">
        <v>3002</v>
      </c>
      <c r="D1165" t="s">
        <v>29</v>
      </c>
      <c r="E1165" t="s">
        <v>232</v>
      </c>
      <c r="F1165" t="s">
        <v>3003</v>
      </c>
    </row>
    <row r="1166" spans="1:6" x14ac:dyDescent="0.3">
      <c r="A1166" t="str">
        <f>HYPERLINK("https://hsdes.intel.com/resource/14013180286","14013180286")</f>
        <v>14013180286</v>
      </c>
      <c r="B1166" t="s">
        <v>3004</v>
      </c>
      <c r="C1166" t="s">
        <v>3005</v>
      </c>
      <c r="D1166" t="s">
        <v>29</v>
      </c>
      <c r="E1166" t="s">
        <v>3006</v>
      </c>
      <c r="F1166" t="s">
        <v>3007</v>
      </c>
    </row>
    <row r="1167" spans="1:6" x14ac:dyDescent="0.3">
      <c r="A1167" t="str">
        <f>HYPERLINK("https://hsdes.intel.com/resource/14013180355","14013180355")</f>
        <v>14013180355</v>
      </c>
      <c r="B1167" t="s">
        <v>3008</v>
      </c>
      <c r="C1167" t="s">
        <v>3009</v>
      </c>
      <c r="D1167" t="s">
        <v>98</v>
      </c>
      <c r="E1167" t="s">
        <v>232</v>
      </c>
      <c r="F1167" t="s">
        <v>2856</v>
      </c>
    </row>
    <row r="1168" spans="1:6" x14ac:dyDescent="0.3">
      <c r="A1168" t="str">
        <f>HYPERLINK("https://hsdes.intel.com/resource/14013180387","14013180387")</f>
        <v>14013180387</v>
      </c>
      <c r="B1168" t="s">
        <v>3010</v>
      </c>
      <c r="C1168" t="s">
        <v>3011</v>
      </c>
      <c r="D1168" t="s">
        <v>29</v>
      </c>
      <c r="E1168" t="s">
        <v>232</v>
      </c>
      <c r="F1168" t="s">
        <v>3012</v>
      </c>
    </row>
    <row r="1169" spans="1:6" x14ac:dyDescent="0.3">
      <c r="A1169" t="str">
        <f>HYPERLINK("https://hsdes.intel.com/resource/14013180397","14013180397")</f>
        <v>14013180397</v>
      </c>
      <c r="B1169" t="s">
        <v>3013</v>
      </c>
      <c r="C1169" t="s">
        <v>3014</v>
      </c>
      <c r="D1169" t="s">
        <v>29</v>
      </c>
      <c r="E1169" t="s">
        <v>232</v>
      </c>
      <c r="F1169" t="s">
        <v>3012</v>
      </c>
    </row>
    <row r="1170" spans="1:6" x14ac:dyDescent="0.3">
      <c r="A1170" t="str">
        <f>HYPERLINK("https://hsdes.intel.com/resource/14013180445","14013180445")</f>
        <v>14013180445</v>
      </c>
      <c r="B1170" t="s">
        <v>3015</v>
      </c>
      <c r="C1170" t="s">
        <v>3016</v>
      </c>
      <c r="D1170" t="s">
        <v>29</v>
      </c>
      <c r="E1170" t="s">
        <v>232</v>
      </c>
      <c r="F1170" t="s">
        <v>3012</v>
      </c>
    </row>
    <row r="1171" spans="1:6" x14ac:dyDescent="0.3">
      <c r="A1171" t="str">
        <f>HYPERLINK("https://hsdes.intel.com/resource/14013180617","14013180617")</f>
        <v>14013180617</v>
      </c>
      <c r="B1171" t="s">
        <v>3017</v>
      </c>
      <c r="C1171" t="s">
        <v>3018</v>
      </c>
      <c r="D1171" t="s">
        <v>29</v>
      </c>
      <c r="E1171" t="s">
        <v>30</v>
      </c>
      <c r="F1171" t="s">
        <v>3019</v>
      </c>
    </row>
    <row r="1172" spans="1:6" x14ac:dyDescent="0.3">
      <c r="A1172" t="str">
        <f>HYPERLINK("https://hsdes.intel.com/resource/14013184048","14013184048")</f>
        <v>14013184048</v>
      </c>
      <c r="B1172" t="s">
        <v>3020</v>
      </c>
      <c r="C1172" t="s">
        <v>3021</v>
      </c>
      <c r="D1172" t="s">
        <v>6</v>
      </c>
      <c r="E1172" t="s">
        <v>648</v>
      </c>
      <c r="F1172" t="s">
        <v>3022</v>
      </c>
    </row>
    <row r="1173" spans="1:6" x14ac:dyDescent="0.3">
      <c r="A1173" t="str">
        <f>HYPERLINK("https://hsdes.intel.com/resource/14013184052","14013184052")</f>
        <v>14013184052</v>
      </c>
      <c r="B1173" t="s">
        <v>3023</v>
      </c>
      <c r="C1173" t="s">
        <v>3024</v>
      </c>
      <c r="D1173" t="s">
        <v>6</v>
      </c>
      <c r="E1173" t="s">
        <v>648</v>
      </c>
      <c r="F1173" t="s">
        <v>2931</v>
      </c>
    </row>
    <row r="1174" spans="1:6" x14ac:dyDescent="0.3">
      <c r="A1174" t="str">
        <f>HYPERLINK("https://hsdes.intel.com/resource/14013184070","14013184070")</f>
        <v>14013184070</v>
      </c>
      <c r="B1174" t="s">
        <v>3025</v>
      </c>
      <c r="C1174" t="s">
        <v>3026</v>
      </c>
      <c r="D1174" t="s">
        <v>6</v>
      </c>
      <c r="E1174" t="s">
        <v>648</v>
      </c>
      <c r="F1174" t="s">
        <v>3027</v>
      </c>
    </row>
    <row r="1175" spans="1:6" x14ac:dyDescent="0.3">
      <c r="A1175" t="str">
        <f>HYPERLINK("https://hsdes.intel.com/resource/14013184074","14013184074")</f>
        <v>14013184074</v>
      </c>
      <c r="B1175" t="s">
        <v>3028</v>
      </c>
      <c r="C1175" t="s">
        <v>3029</v>
      </c>
      <c r="D1175" t="s">
        <v>6</v>
      </c>
      <c r="E1175" t="s">
        <v>648</v>
      </c>
      <c r="F1175" t="s">
        <v>3027</v>
      </c>
    </row>
    <row r="1176" spans="1:6" x14ac:dyDescent="0.3">
      <c r="A1176" t="str">
        <f>HYPERLINK("https://hsdes.intel.com/resource/14013184079","14013184079")</f>
        <v>14013184079</v>
      </c>
      <c r="B1176" t="s">
        <v>3030</v>
      </c>
      <c r="C1176" t="s">
        <v>3031</v>
      </c>
      <c r="D1176" t="s">
        <v>6</v>
      </c>
      <c r="E1176" t="s">
        <v>648</v>
      </c>
      <c r="F1176" t="s">
        <v>3027</v>
      </c>
    </row>
    <row r="1177" spans="1:6" x14ac:dyDescent="0.3">
      <c r="A1177" t="str">
        <f>HYPERLINK("https://hsdes.intel.com/resource/14013184081","14013184081")</f>
        <v>14013184081</v>
      </c>
      <c r="B1177" t="s">
        <v>3032</v>
      </c>
      <c r="C1177" t="s">
        <v>3033</v>
      </c>
      <c r="D1177" t="s">
        <v>6</v>
      </c>
      <c r="E1177" t="s">
        <v>648</v>
      </c>
      <c r="F1177" t="s">
        <v>3027</v>
      </c>
    </row>
    <row r="1178" spans="1:6" x14ac:dyDescent="0.3">
      <c r="A1178" t="str">
        <f>HYPERLINK("https://hsdes.intel.com/resource/14013184376","14013184376")</f>
        <v>14013184376</v>
      </c>
      <c r="B1178" t="s">
        <v>3034</v>
      </c>
      <c r="C1178" t="s">
        <v>3035</v>
      </c>
      <c r="D1178" t="s">
        <v>142</v>
      </c>
      <c r="E1178" t="s">
        <v>63</v>
      </c>
      <c r="F1178" t="s">
        <v>3036</v>
      </c>
    </row>
    <row r="1179" spans="1:6" x14ac:dyDescent="0.3">
      <c r="A1179" t="str">
        <f>HYPERLINK("https://hsdes.intel.com/resource/14013184549","14013184549")</f>
        <v>14013184549</v>
      </c>
      <c r="B1179" t="s">
        <v>3037</v>
      </c>
      <c r="C1179" t="s">
        <v>3038</v>
      </c>
      <c r="D1179" t="s">
        <v>62</v>
      </c>
      <c r="E1179" t="s">
        <v>2372</v>
      </c>
      <c r="F1179" t="s">
        <v>3039</v>
      </c>
    </row>
    <row r="1180" spans="1:6" x14ac:dyDescent="0.3">
      <c r="A1180" t="str">
        <f>HYPERLINK("https://hsdes.intel.com/resource/14013184882","14013184882")</f>
        <v>14013184882</v>
      </c>
      <c r="B1180" t="s">
        <v>3040</v>
      </c>
      <c r="C1180" t="s">
        <v>3041</v>
      </c>
      <c r="D1180" t="s">
        <v>62</v>
      </c>
      <c r="E1180" t="s">
        <v>89</v>
      </c>
      <c r="F1180" t="s">
        <v>3042</v>
      </c>
    </row>
    <row r="1181" spans="1:6" x14ac:dyDescent="0.3">
      <c r="A1181" t="str">
        <f>HYPERLINK("https://hsdes.intel.com/resource/14013184884","14013184884")</f>
        <v>14013184884</v>
      </c>
      <c r="B1181" t="s">
        <v>3043</v>
      </c>
      <c r="C1181" t="s">
        <v>3044</v>
      </c>
      <c r="D1181" t="s">
        <v>62</v>
      </c>
      <c r="E1181" t="s">
        <v>89</v>
      </c>
      <c r="F1181" t="s">
        <v>3042</v>
      </c>
    </row>
    <row r="1182" spans="1:6" x14ac:dyDescent="0.3">
      <c r="A1182" t="str">
        <f>HYPERLINK("https://hsdes.intel.com/resource/14013184885","14013184885")</f>
        <v>14013184885</v>
      </c>
      <c r="B1182" t="s">
        <v>3045</v>
      </c>
      <c r="C1182" t="s">
        <v>3046</v>
      </c>
      <c r="D1182" t="s">
        <v>62</v>
      </c>
      <c r="E1182" t="s">
        <v>2934</v>
      </c>
      <c r="F1182" t="s">
        <v>3047</v>
      </c>
    </row>
    <row r="1183" spans="1:6" x14ac:dyDescent="0.3">
      <c r="A1183" t="str">
        <f>HYPERLINK("https://hsdes.intel.com/resource/14013184886","14013184886")</f>
        <v>14013184886</v>
      </c>
      <c r="B1183" t="s">
        <v>3048</v>
      </c>
      <c r="C1183" t="s">
        <v>3049</v>
      </c>
      <c r="D1183" t="s">
        <v>62</v>
      </c>
      <c r="E1183" t="s">
        <v>2934</v>
      </c>
      <c r="F1183" t="s">
        <v>3050</v>
      </c>
    </row>
    <row r="1184" spans="1:6" x14ac:dyDescent="0.3">
      <c r="A1184" t="str">
        <f>HYPERLINK("https://hsdes.intel.com/resource/14013184965","14013184965")</f>
        <v>14013184965</v>
      </c>
      <c r="B1184" t="s">
        <v>3051</v>
      </c>
      <c r="C1184" t="s">
        <v>3052</v>
      </c>
      <c r="D1184" t="s">
        <v>62</v>
      </c>
      <c r="E1184" t="s">
        <v>89</v>
      </c>
      <c r="F1184" t="s">
        <v>3053</v>
      </c>
    </row>
    <row r="1185" spans="1:6" x14ac:dyDescent="0.3">
      <c r="A1185" t="str">
        <f>HYPERLINK("https://hsdes.intel.com/resource/14013185088","14013185088")</f>
        <v>14013185088</v>
      </c>
      <c r="B1185" t="s">
        <v>3054</v>
      </c>
      <c r="C1185" t="s">
        <v>3055</v>
      </c>
      <c r="D1185" t="s">
        <v>62</v>
      </c>
      <c r="E1185" t="s">
        <v>89</v>
      </c>
      <c r="F1185" t="s">
        <v>3047</v>
      </c>
    </row>
    <row r="1186" spans="1:6" x14ac:dyDescent="0.3">
      <c r="A1186" t="str">
        <f>HYPERLINK("https://hsdes.intel.com/resource/14013185094","14013185094")</f>
        <v>14013185094</v>
      </c>
      <c r="B1186" t="s">
        <v>3056</v>
      </c>
      <c r="C1186" t="s">
        <v>3057</v>
      </c>
      <c r="D1186" t="s">
        <v>62</v>
      </c>
      <c r="E1186" t="s">
        <v>89</v>
      </c>
      <c r="F1186" t="s">
        <v>3058</v>
      </c>
    </row>
    <row r="1187" spans="1:6" x14ac:dyDescent="0.3">
      <c r="A1187" t="str">
        <f>HYPERLINK("https://hsdes.intel.com/resource/14013185096","14013185096")</f>
        <v>14013185096</v>
      </c>
      <c r="B1187" t="s">
        <v>3059</v>
      </c>
      <c r="C1187" t="s">
        <v>3060</v>
      </c>
      <c r="D1187" t="s">
        <v>62</v>
      </c>
      <c r="E1187" t="s">
        <v>89</v>
      </c>
      <c r="F1187" t="s">
        <v>3058</v>
      </c>
    </row>
    <row r="1188" spans="1:6" x14ac:dyDescent="0.3">
      <c r="A1188" t="str">
        <f>HYPERLINK("https://hsdes.intel.com/resource/14013185098","14013185098")</f>
        <v>14013185098</v>
      </c>
      <c r="B1188" t="s">
        <v>3061</v>
      </c>
      <c r="C1188" t="s">
        <v>3062</v>
      </c>
      <c r="D1188" t="s">
        <v>62</v>
      </c>
      <c r="E1188" t="s">
        <v>89</v>
      </c>
      <c r="F1188" t="s">
        <v>3063</v>
      </c>
    </row>
    <row r="1189" spans="1:6" x14ac:dyDescent="0.3">
      <c r="A1189" t="str">
        <f>HYPERLINK("https://hsdes.intel.com/resource/14013185100","14013185100")</f>
        <v>14013185100</v>
      </c>
      <c r="B1189" t="s">
        <v>3064</v>
      </c>
      <c r="C1189" t="s">
        <v>3065</v>
      </c>
      <c r="D1189" t="s">
        <v>62</v>
      </c>
      <c r="E1189" t="s">
        <v>89</v>
      </c>
      <c r="F1189" t="s">
        <v>3053</v>
      </c>
    </row>
    <row r="1190" spans="1:6" x14ac:dyDescent="0.3">
      <c r="A1190" t="str">
        <f>HYPERLINK("https://hsdes.intel.com/resource/14013185127","14013185127")</f>
        <v>14013185127</v>
      </c>
      <c r="B1190" t="s">
        <v>3066</v>
      </c>
      <c r="C1190" t="s">
        <v>3067</v>
      </c>
      <c r="D1190" t="s">
        <v>142</v>
      </c>
      <c r="E1190" t="s">
        <v>63</v>
      </c>
      <c r="F1190" t="s">
        <v>3068</v>
      </c>
    </row>
    <row r="1191" spans="1:6" x14ac:dyDescent="0.3">
      <c r="A1191" t="str">
        <f>HYPERLINK("https://hsdes.intel.com/resource/14013185192","14013185192")</f>
        <v>14013185192</v>
      </c>
      <c r="B1191" t="s">
        <v>3069</v>
      </c>
      <c r="C1191" t="s">
        <v>3070</v>
      </c>
      <c r="D1191" t="s">
        <v>142</v>
      </c>
      <c r="E1191" t="s">
        <v>730</v>
      </c>
      <c r="F1191" t="s">
        <v>3071</v>
      </c>
    </row>
    <row r="1192" spans="1:6" x14ac:dyDescent="0.3">
      <c r="A1192" t="str">
        <f>HYPERLINK("https://hsdes.intel.com/resource/14013185197","14013185197")</f>
        <v>14013185197</v>
      </c>
      <c r="B1192" t="s">
        <v>3072</v>
      </c>
      <c r="C1192" t="s">
        <v>3073</v>
      </c>
      <c r="D1192" t="s">
        <v>62</v>
      </c>
      <c r="E1192" t="s">
        <v>2934</v>
      </c>
      <c r="F1192" t="s">
        <v>3058</v>
      </c>
    </row>
    <row r="1193" spans="1:6" x14ac:dyDescent="0.3">
      <c r="A1193" t="str">
        <f>HYPERLINK("https://hsdes.intel.com/resource/14013185471","14013185471")</f>
        <v>14013185471</v>
      </c>
      <c r="B1193" t="s">
        <v>3074</v>
      </c>
      <c r="C1193" t="s">
        <v>3075</v>
      </c>
      <c r="D1193" t="s">
        <v>142</v>
      </c>
      <c r="E1193" t="s">
        <v>2665</v>
      </c>
      <c r="F1193" t="s">
        <v>3076</v>
      </c>
    </row>
    <row r="1194" spans="1:6" x14ac:dyDescent="0.3">
      <c r="A1194" t="str">
        <f>HYPERLINK("https://hsdes.intel.com/resource/14013185495","14013185495")</f>
        <v>14013185495</v>
      </c>
      <c r="B1194" t="s">
        <v>3077</v>
      </c>
      <c r="C1194" t="s">
        <v>3078</v>
      </c>
      <c r="D1194" t="s">
        <v>62</v>
      </c>
      <c r="E1194" t="s">
        <v>2372</v>
      </c>
      <c r="F1194" t="s">
        <v>3079</v>
      </c>
    </row>
    <row r="1195" spans="1:6" x14ac:dyDescent="0.3">
      <c r="A1195" t="str">
        <f>HYPERLINK("https://hsdes.intel.com/resource/14013185512","14013185512")</f>
        <v>14013185512</v>
      </c>
      <c r="B1195" t="s">
        <v>3080</v>
      </c>
      <c r="C1195" t="s">
        <v>3081</v>
      </c>
      <c r="D1195" t="s">
        <v>62</v>
      </c>
      <c r="E1195" t="s">
        <v>2934</v>
      </c>
      <c r="F1195" t="s">
        <v>3047</v>
      </c>
    </row>
    <row r="1196" spans="1:6" x14ac:dyDescent="0.3">
      <c r="A1196" t="str">
        <f>HYPERLINK("https://hsdes.intel.com/resource/14013185587","14013185587")</f>
        <v>14013185587</v>
      </c>
      <c r="B1196" t="s">
        <v>3082</v>
      </c>
      <c r="C1196" t="s">
        <v>3083</v>
      </c>
      <c r="D1196" t="s">
        <v>29</v>
      </c>
      <c r="E1196" t="s">
        <v>30</v>
      </c>
      <c r="F1196" t="s">
        <v>3084</v>
      </c>
    </row>
    <row r="1197" spans="1:6" x14ac:dyDescent="0.3">
      <c r="A1197" t="str">
        <f>HYPERLINK("https://hsdes.intel.com/resource/14013185604","14013185604")</f>
        <v>14013185604</v>
      </c>
      <c r="B1197" t="s">
        <v>3085</v>
      </c>
      <c r="C1197" t="s">
        <v>3086</v>
      </c>
      <c r="D1197" t="s">
        <v>29</v>
      </c>
      <c r="E1197" t="s">
        <v>30</v>
      </c>
      <c r="F1197" t="s">
        <v>3087</v>
      </c>
    </row>
    <row r="1198" spans="1:6" x14ac:dyDescent="0.3">
      <c r="A1198" t="str">
        <f>HYPERLINK("https://hsdes.intel.com/resource/14013185636","14013185636")</f>
        <v>14013185636</v>
      </c>
      <c r="B1198" t="s">
        <v>3088</v>
      </c>
      <c r="C1198" t="s">
        <v>3089</v>
      </c>
      <c r="D1198" t="s">
        <v>6</v>
      </c>
      <c r="E1198" t="s">
        <v>648</v>
      </c>
      <c r="F1198" t="s">
        <v>3027</v>
      </c>
    </row>
    <row r="1199" spans="1:6" x14ac:dyDescent="0.3">
      <c r="A1199" t="str">
        <f>HYPERLINK("https://hsdes.intel.com/resource/14013185659","14013185659")</f>
        <v>14013185659</v>
      </c>
      <c r="B1199" t="s">
        <v>3090</v>
      </c>
      <c r="C1199" t="s">
        <v>3091</v>
      </c>
      <c r="D1199" t="s">
        <v>142</v>
      </c>
      <c r="E1199" t="s">
        <v>2665</v>
      </c>
      <c r="F1199" t="s">
        <v>3092</v>
      </c>
    </row>
    <row r="1200" spans="1:6" x14ac:dyDescent="0.3">
      <c r="A1200" t="str">
        <f>HYPERLINK("https://hsdes.intel.com/resource/14013185661","14013185661")</f>
        <v>14013185661</v>
      </c>
      <c r="B1200" t="s">
        <v>3093</v>
      </c>
      <c r="C1200" t="s">
        <v>3094</v>
      </c>
      <c r="D1200" t="s">
        <v>142</v>
      </c>
      <c r="E1200" t="s">
        <v>63</v>
      </c>
      <c r="F1200" t="s">
        <v>3095</v>
      </c>
    </row>
    <row r="1201" spans="1:6" x14ac:dyDescent="0.3">
      <c r="A1201" t="str">
        <f>HYPERLINK("https://hsdes.intel.com/resource/14013185672","14013185672")</f>
        <v>14013185672</v>
      </c>
      <c r="B1201" t="s">
        <v>3096</v>
      </c>
      <c r="C1201" t="s">
        <v>3097</v>
      </c>
      <c r="D1201" t="s">
        <v>142</v>
      </c>
      <c r="E1201" t="s">
        <v>2665</v>
      </c>
      <c r="F1201" t="s">
        <v>3098</v>
      </c>
    </row>
    <row r="1202" spans="1:6" x14ac:dyDescent="0.3">
      <c r="A1202" t="str">
        <f>HYPERLINK("https://hsdes.intel.com/resource/14013185674","14013185674")</f>
        <v>14013185674</v>
      </c>
      <c r="B1202" t="s">
        <v>3099</v>
      </c>
      <c r="C1202" t="s">
        <v>3100</v>
      </c>
      <c r="D1202" t="s">
        <v>142</v>
      </c>
      <c r="E1202" t="s">
        <v>63</v>
      </c>
      <c r="F1202" t="s">
        <v>3101</v>
      </c>
    </row>
    <row r="1203" spans="1:6" x14ac:dyDescent="0.3">
      <c r="A1203" t="str">
        <f>HYPERLINK("https://hsdes.intel.com/resource/14013185716","14013185716")</f>
        <v>14013185716</v>
      </c>
      <c r="B1203" t="s">
        <v>3102</v>
      </c>
      <c r="C1203" t="s">
        <v>3103</v>
      </c>
      <c r="D1203" t="s">
        <v>17</v>
      </c>
      <c r="E1203" t="s">
        <v>114</v>
      </c>
      <c r="F1203" t="s">
        <v>3104</v>
      </c>
    </row>
    <row r="1204" spans="1:6" x14ac:dyDescent="0.3">
      <c r="A1204" t="str">
        <f>HYPERLINK("https://hsdes.intel.com/resource/14013186099","14013186099")</f>
        <v>14013186099</v>
      </c>
      <c r="B1204" t="s">
        <v>3105</v>
      </c>
      <c r="C1204" t="s">
        <v>3106</v>
      </c>
      <c r="D1204" t="s">
        <v>29</v>
      </c>
      <c r="E1204" t="s">
        <v>246</v>
      </c>
      <c r="F1204" t="s">
        <v>3107</v>
      </c>
    </row>
    <row r="1205" spans="1:6" x14ac:dyDescent="0.3">
      <c r="A1205" t="str">
        <f>HYPERLINK("https://hsdes.intel.com/resource/14013186245","14013186245")</f>
        <v>14013186245</v>
      </c>
      <c r="B1205" t="s">
        <v>134</v>
      </c>
      <c r="C1205" t="s">
        <v>3108</v>
      </c>
      <c r="D1205" t="s">
        <v>29</v>
      </c>
      <c r="E1205" t="s">
        <v>2915</v>
      </c>
      <c r="F1205" t="s">
        <v>3109</v>
      </c>
    </row>
    <row r="1206" spans="1:6" x14ac:dyDescent="0.3">
      <c r="A1206" t="str">
        <f>HYPERLINK("https://hsdes.intel.com/resource/14013186411","14013186411")</f>
        <v>14013186411</v>
      </c>
      <c r="B1206" t="s">
        <v>3110</v>
      </c>
      <c r="C1206" t="s">
        <v>3111</v>
      </c>
      <c r="D1206" t="s">
        <v>29</v>
      </c>
      <c r="E1206" t="s">
        <v>246</v>
      </c>
      <c r="F1206" t="s">
        <v>3112</v>
      </c>
    </row>
    <row r="1207" spans="1:6" x14ac:dyDescent="0.3">
      <c r="A1207" t="str">
        <f>HYPERLINK("https://hsdes.intel.com/resource/14013186567","14013186567")</f>
        <v>14013186567</v>
      </c>
      <c r="B1207" t="s">
        <v>3113</v>
      </c>
      <c r="C1207" t="s">
        <v>3114</v>
      </c>
      <c r="D1207" t="s">
        <v>29</v>
      </c>
      <c r="E1207" t="s">
        <v>3115</v>
      </c>
      <c r="F1207" t="s">
        <v>3116</v>
      </c>
    </row>
    <row r="1208" spans="1:6" x14ac:dyDescent="0.3">
      <c r="A1208" t="str">
        <f>HYPERLINK("https://hsdes.intel.com/resource/14013186568","14013186568")</f>
        <v>14013186568</v>
      </c>
      <c r="B1208" t="s">
        <v>3117</v>
      </c>
      <c r="C1208" t="s">
        <v>3118</v>
      </c>
      <c r="D1208" t="s">
        <v>29</v>
      </c>
      <c r="E1208" t="s">
        <v>3115</v>
      </c>
      <c r="F1208" t="s">
        <v>3116</v>
      </c>
    </row>
    <row r="1209" spans="1:6" x14ac:dyDescent="0.3">
      <c r="A1209" t="str">
        <f>HYPERLINK("https://hsdes.intel.com/resource/14013186872","14013186872")</f>
        <v>14013186872</v>
      </c>
      <c r="B1209" t="s">
        <v>3119</v>
      </c>
      <c r="C1209" t="s">
        <v>3120</v>
      </c>
      <c r="D1209" t="s">
        <v>29</v>
      </c>
      <c r="E1209" t="s">
        <v>246</v>
      </c>
      <c r="F1209" t="s">
        <v>3121</v>
      </c>
    </row>
    <row r="1210" spans="1:6" x14ac:dyDescent="0.3">
      <c r="A1210" t="str">
        <f>HYPERLINK("https://hsdes.intel.com/resource/14013186907","14013186907")</f>
        <v>14013186907</v>
      </c>
      <c r="B1210" t="s">
        <v>3122</v>
      </c>
      <c r="C1210" t="s">
        <v>3123</v>
      </c>
      <c r="D1210" t="s">
        <v>29</v>
      </c>
      <c r="E1210" t="s">
        <v>246</v>
      </c>
      <c r="F1210" t="s">
        <v>3124</v>
      </c>
    </row>
    <row r="1211" spans="1:6" x14ac:dyDescent="0.3">
      <c r="A1211" t="str">
        <f>HYPERLINK("https://hsdes.intel.com/resource/14013186917","14013186917")</f>
        <v>14013186917</v>
      </c>
      <c r="B1211" t="s">
        <v>3125</v>
      </c>
      <c r="C1211" t="s">
        <v>3126</v>
      </c>
      <c r="D1211" t="s">
        <v>29</v>
      </c>
      <c r="E1211" t="s">
        <v>246</v>
      </c>
      <c r="F1211" t="s">
        <v>3127</v>
      </c>
    </row>
    <row r="1212" spans="1:6" x14ac:dyDescent="0.3">
      <c r="A1212" t="str">
        <f>HYPERLINK("https://hsdes.intel.com/resource/14013186929","14013186929")</f>
        <v>14013186929</v>
      </c>
      <c r="B1212" t="s">
        <v>3128</v>
      </c>
      <c r="C1212" t="s">
        <v>3129</v>
      </c>
      <c r="D1212" t="s">
        <v>29</v>
      </c>
      <c r="E1212" t="s">
        <v>246</v>
      </c>
      <c r="F1212" t="s">
        <v>3121</v>
      </c>
    </row>
    <row r="1213" spans="1:6" x14ac:dyDescent="0.3">
      <c r="A1213" t="str">
        <f>HYPERLINK("https://hsdes.intel.com/resource/14013186958","14013186958")</f>
        <v>14013186958</v>
      </c>
      <c r="B1213" t="s">
        <v>3130</v>
      </c>
      <c r="C1213" t="s">
        <v>3131</v>
      </c>
      <c r="D1213" t="s">
        <v>29</v>
      </c>
      <c r="E1213" t="s">
        <v>246</v>
      </c>
      <c r="F1213" t="s">
        <v>3121</v>
      </c>
    </row>
    <row r="1214" spans="1:6" x14ac:dyDescent="0.3">
      <c r="A1214" t="str">
        <f>HYPERLINK("https://hsdes.intel.com/resource/14013187966","14013187966")</f>
        <v>14013187966</v>
      </c>
      <c r="B1214" t="s">
        <v>3132</v>
      </c>
      <c r="C1214" t="s">
        <v>3133</v>
      </c>
      <c r="D1214" t="s">
        <v>29</v>
      </c>
      <c r="E1214" t="s">
        <v>232</v>
      </c>
      <c r="F1214" t="s">
        <v>531</v>
      </c>
    </row>
    <row r="1215" spans="1:6" x14ac:dyDescent="0.3">
      <c r="A1215" t="str">
        <f>HYPERLINK("https://hsdes.intel.com/resource/14013188164","14013188164")</f>
        <v>14013188164</v>
      </c>
      <c r="B1215" t="s">
        <v>3134</v>
      </c>
      <c r="C1215" t="s">
        <v>3135</v>
      </c>
      <c r="D1215" t="s">
        <v>6</v>
      </c>
      <c r="E1215" t="s">
        <v>7</v>
      </c>
      <c r="F1215" t="s">
        <v>1419</v>
      </c>
    </row>
    <row r="1216" spans="1:6" x14ac:dyDescent="0.3">
      <c r="A1216" t="str">
        <f>HYPERLINK("https://hsdes.intel.com/resource/15010894813","15010894813")</f>
        <v>15010894813</v>
      </c>
      <c r="B1216" t="s">
        <v>3136</v>
      </c>
      <c r="D1216" t="s">
        <v>22</v>
      </c>
      <c r="E1216" t="s">
        <v>18</v>
      </c>
      <c r="F1216" t="s">
        <v>3137</v>
      </c>
    </row>
    <row r="1217" spans="1:6" x14ac:dyDescent="0.3">
      <c r="A1217" t="str">
        <f>HYPERLINK("https://hsdes.intel.com/resource/16012525017","16012525017")</f>
        <v>16012525017</v>
      </c>
      <c r="B1217" t="s">
        <v>3138</v>
      </c>
      <c r="D1217" t="s">
        <v>62</v>
      </c>
      <c r="E1217" t="s">
        <v>30</v>
      </c>
      <c r="F1217" t="s">
        <v>3139</v>
      </c>
    </row>
    <row r="1218" spans="1:6" x14ac:dyDescent="0.3">
      <c r="A1218" t="str">
        <f>HYPERLINK("https://hsdes.intel.com/resource/16012652787","16012652787")</f>
        <v>16012652787</v>
      </c>
      <c r="B1218" t="s">
        <v>3140</v>
      </c>
      <c r="C1218" t="s">
        <v>3141</v>
      </c>
      <c r="D1218" t="s">
        <v>62</v>
      </c>
      <c r="E1218" t="s">
        <v>2372</v>
      </c>
      <c r="F1218" t="s">
        <v>3142</v>
      </c>
    </row>
    <row r="1219" spans="1:6" x14ac:dyDescent="0.3">
      <c r="A1219" t="str">
        <f>HYPERLINK("https://hsdes.intel.com/resource/16012734505","16012734505")</f>
        <v>16012734505</v>
      </c>
      <c r="B1219" t="s">
        <v>3143</v>
      </c>
      <c r="C1219" t="s">
        <v>171</v>
      </c>
      <c r="D1219" t="s">
        <v>62</v>
      </c>
      <c r="E1219" t="s">
        <v>172</v>
      </c>
      <c r="F1219" t="s">
        <v>585</v>
      </c>
    </row>
    <row r="1220" spans="1:6" x14ac:dyDescent="0.3">
      <c r="A1220" t="str">
        <f>HYPERLINK("https://hsdes.intel.com/resource/16013044817","16013044817")</f>
        <v>16013044817</v>
      </c>
      <c r="B1220" t="s">
        <v>3144</v>
      </c>
      <c r="D1220" t="s">
        <v>6</v>
      </c>
      <c r="E1220" t="s">
        <v>7</v>
      </c>
      <c r="F1220" t="s">
        <v>3145</v>
      </c>
    </row>
    <row r="1221" spans="1:6" x14ac:dyDescent="0.3">
      <c r="A1221" t="str">
        <f>HYPERLINK("https://hsdes.intel.com/resource/16013162806","16013162806")</f>
        <v>16013162806</v>
      </c>
      <c r="B1221" t="s">
        <v>3146</v>
      </c>
      <c r="C1221" t="s">
        <v>3147</v>
      </c>
      <c r="D1221" t="s">
        <v>22</v>
      </c>
      <c r="E1221" t="s">
        <v>30</v>
      </c>
      <c r="F1221" t="s">
        <v>259</v>
      </c>
    </row>
    <row r="1222" spans="1:6" x14ac:dyDescent="0.3">
      <c r="A1222" t="str">
        <f>HYPERLINK("https://hsdes.intel.com/resource/16013169992","16013169992")</f>
        <v>16013169992</v>
      </c>
      <c r="B1222" t="s">
        <v>3148</v>
      </c>
      <c r="D1222" t="s">
        <v>6</v>
      </c>
      <c r="E1222" t="s">
        <v>7</v>
      </c>
      <c r="F1222" t="s">
        <v>3149</v>
      </c>
    </row>
    <row r="1223" spans="1:6" x14ac:dyDescent="0.3">
      <c r="A1223" t="str">
        <f>HYPERLINK("https://hsdes.intel.com/resource/16013177946","16013177946")</f>
        <v>16013177946</v>
      </c>
      <c r="B1223" t="s">
        <v>3150</v>
      </c>
      <c r="D1223" t="s">
        <v>6</v>
      </c>
      <c r="E1223" t="s">
        <v>7</v>
      </c>
      <c r="F1223" t="s">
        <v>594</v>
      </c>
    </row>
    <row r="1224" spans="1:6" x14ac:dyDescent="0.3">
      <c r="A1224" t="str">
        <f>HYPERLINK("https://hsdes.intel.com/resource/16013178306","16013178306")</f>
        <v>16013178306</v>
      </c>
      <c r="B1224" t="s">
        <v>3151</v>
      </c>
      <c r="D1224" t="s">
        <v>6</v>
      </c>
      <c r="E1224" t="s">
        <v>7</v>
      </c>
      <c r="F1224" t="s">
        <v>594</v>
      </c>
    </row>
    <row r="1225" spans="1:6" x14ac:dyDescent="0.3">
      <c r="A1225" t="str">
        <f>HYPERLINK("https://hsdes.intel.com/resource/16013185250","16013185250")</f>
        <v>16013185250</v>
      </c>
      <c r="B1225" t="s">
        <v>3152</v>
      </c>
      <c r="D1225" t="s">
        <v>6</v>
      </c>
      <c r="E1225" t="s">
        <v>7</v>
      </c>
      <c r="F1225" t="s">
        <v>287</v>
      </c>
    </row>
    <row r="1226" spans="1:6" x14ac:dyDescent="0.3">
      <c r="A1226" t="str">
        <f>HYPERLINK("https://hsdes.intel.com/resource/16013191780","16013191780")</f>
        <v>16013191780</v>
      </c>
      <c r="B1226" t="s">
        <v>3153</v>
      </c>
      <c r="C1226" t="s">
        <v>3154</v>
      </c>
      <c r="D1226" t="s">
        <v>22</v>
      </c>
      <c r="E1226" t="s">
        <v>63</v>
      </c>
      <c r="F1226" t="s">
        <v>1681</v>
      </c>
    </row>
    <row r="1227" spans="1:6" x14ac:dyDescent="0.3">
      <c r="A1227" t="str">
        <f>HYPERLINK("https://hsdes.intel.com/resource/16013191789","16013191789")</f>
        <v>16013191789</v>
      </c>
      <c r="B1227" t="s">
        <v>3155</v>
      </c>
      <c r="C1227" t="s">
        <v>3154</v>
      </c>
      <c r="D1227" t="s">
        <v>22</v>
      </c>
      <c r="E1227" t="s">
        <v>63</v>
      </c>
      <c r="F1227" t="s">
        <v>1681</v>
      </c>
    </row>
    <row r="1228" spans="1:6" x14ac:dyDescent="0.3">
      <c r="A1228" t="str">
        <f>HYPERLINK("https://hsdes.intel.com/resource/16013240669","16013240669")</f>
        <v>16013240669</v>
      </c>
      <c r="B1228" t="s">
        <v>3156</v>
      </c>
      <c r="C1228" t="s">
        <v>508</v>
      </c>
      <c r="D1228" t="s">
        <v>17</v>
      </c>
      <c r="E1228" t="s">
        <v>18</v>
      </c>
      <c r="F1228" t="s">
        <v>594</v>
      </c>
    </row>
    <row r="1229" spans="1:6" x14ac:dyDescent="0.3">
      <c r="A1229" t="str">
        <f>HYPERLINK("https://hsdes.intel.com/resource/16013241572","16013241572")</f>
        <v>16013241572</v>
      </c>
      <c r="B1229" t="s">
        <v>3157</v>
      </c>
      <c r="D1229" t="s">
        <v>22</v>
      </c>
      <c r="E1229" t="s">
        <v>30</v>
      </c>
      <c r="F1229" t="s">
        <v>239</v>
      </c>
    </row>
    <row r="1230" spans="1:6" x14ac:dyDescent="0.3">
      <c r="A1230" t="str">
        <f>HYPERLINK("https://hsdes.intel.com/resource/16013251327","16013251327")</f>
        <v>16013251327</v>
      </c>
      <c r="B1230" t="s">
        <v>3158</v>
      </c>
      <c r="C1230" t="s">
        <v>231</v>
      </c>
      <c r="D1230" t="s">
        <v>29</v>
      </c>
      <c r="E1230" t="s">
        <v>232</v>
      </c>
      <c r="F1230" t="s">
        <v>3159</v>
      </c>
    </row>
    <row r="1231" spans="1:6" x14ac:dyDescent="0.3">
      <c r="A1231" t="str">
        <f>HYPERLINK("https://hsdes.intel.com/resource/16013305578","16013305578")</f>
        <v>16013305578</v>
      </c>
      <c r="B1231" t="s">
        <v>3160</v>
      </c>
      <c r="C1231" t="s">
        <v>3161</v>
      </c>
      <c r="D1231" t="s">
        <v>62</v>
      </c>
      <c r="E1231" t="s">
        <v>63</v>
      </c>
      <c r="F1231" t="s">
        <v>1388</v>
      </c>
    </row>
    <row r="1232" spans="1:6" x14ac:dyDescent="0.3">
      <c r="A1232" t="str">
        <f>HYPERLINK("https://hsdes.intel.com/resource/16013309250","16013309250")</f>
        <v>16013309250</v>
      </c>
      <c r="B1232" t="s">
        <v>3162</v>
      </c>
      <c r="D1232" t="s">
        <v>17</v>
      </c>
      <c r="E1232" t="s">
        <v>63</v>
      </c>
      <c r="F1232" t="s">
        <v>3163</v>
      </c>
    </row>
    <row r="1233" spans="1:6" x14ac:dyDescent="0.3">
      <c r="A1233" t="str">
        <f>HYPERLINK("https://hsdes.intel.com/resource/16013626053","16013626053")</f>
        <v>16013626053</v>
      </c>
      <c r="B1233" t="s">
        <v>3164</v>
      </c>
      <c r="D1233" t="s">
        <v>67</v>
      </c>
      <c r="E1233" t="s">
        <v>179</v>
      </c>
      <c r="F1233" t="s">
        <v>277</v>
      </c>
    </row>
    <row r="1234" spans="1:6" x14ac:dyDescent="0.3">
      <c r="A1234" t="str">
        <f>HYPERLINK("https://hsdes.intel.com/resource/16013691380","16013691380")</f>
        <v>16013691380</v>
      </c>
      <c r="B1234" t="s">
        <v>3165</v>
      </c>
      <c r="C1234" t="s">
        <v>1639</v>
      </c>
      <c r="D1234" t="s">
        <v>6</v>
      </c>
      <c r="E1234" t="s">
        <v>1640</v>
      </c>
      <c r="F1234" t="s">
        <v>1641</v>
      </c>
    </row>
    <row r="1235" spans="1:6" x14ac:dyDescent="0.3">
      <c r="A1235" t="str">
        <f>HYPERLINK("https://hsdes.intel.com/resource/16013696484","16013696484")</f>
        <v>16013696484</v>
      </c>
      <c r="B1235" t="s">
        <v>3166</v>
      </c>
      <c r="C1235" t="s">
        <v>1714</v>
      </c>
      <c r="D1235" t="s">
        <v>6</v>
      </c>
      <c r="E1235" t="s">
        <v>7</v>
      </c>
      <c r="F1235" t="s">
        <v>1419</v>
      </c>
    </row>
    <row r="1236" spans="1:6" x14ac:dyDescent="0.3">
      <c r="A1236" t="str">
        <f>HYPERLINK("https://hsdes.intel.com/resource/16013697915","16013697915")</f>
        <v>16013697915</v>
      </c>
      <c r="B1236" t="s">
        <v>3167</v>
      </c>
      <c r="C1236" t="s">
        <v>1630</v>
      </c>
      <c r="D1236" t="s">
        <v>6</v>
      </c>
      <c r="E1236" t="s">
        <v>7</v>
      </c>
      <c r="F1236" t="s">
        <v>294</v>
      </c>
    </row>
    <row r="1237" spans="1:6" x14ac:dyDescent="0.3">
      <c r="A1237" t="str">
        <f>HYPERLINK("https://hsdes.intel.com/resource/16013698260","16013698260")</f>
        <v>16013698260</v>
      </c>
      <c r="B1237" t="s">
        <v>3168</v>
      </c>
      <c r="C1237" t="s">
        <v>995</v>
      </c>
      <c r="D1237" t="s">
        <v>6</v>
      </c>
      <c r="E1237" t="s">
        <v>7</v>
      </c>
      <c r="F1237" t="s">
        <v>157</v>
      </c>
    </row>
    <row r="1238" spans="1:6" x14ac:dyDescent="0.3">
      <c r="A1238" t="str">
        <f>HYPERLINK("https://hsdes.intel.com/resource/16013699710","16013699710")</f>
        <v>16013699710</v>
      </c>
      <c r="B1238" t="s">
        <v>3169</v>
      </c>
      <c r="C1238" t="s">
        <v>1712</v>
      </c>
      <c r="D1238" t="s">
        <v>6</v>
      </c>
      <c r="E1238" t="s">
        <v>7</v>
      </c>
      <c r="F1238" t="s">
        <v>1419</v>
      </c>
    </row>
    <row r="1239" spans="1:6" x14ac:dyDescent="0.3">
      <c r="A1239" t="str">
        <f>HYPERLINK("https://hsdes.intel.com/resource/16013700594","16013700594")</f>
        <v>16013700594</v>
      </c>
      <c r="B1239" t="s">
        <v>3170</v>
      </c>
      <c r="C1239" t="s">
        <v>1135</v>
      </c>
      <c r="D1239" t="s">
        <v>6</v>
      </c>
      <c r="E1239" t="s">
        <v>7</v>
      </c>
      <c r="F1239" t="s">
        <v>3171</v>
      </c>
    </row>
    <row r="1240" spans="1:6" x14ac:dyDescent="0.3">
      <c r="A1240" t="str">
        <f>HYPERLINK("https://hsdes.intel.com/resource/16013700981","16013700981")</f>
        <v>16013700981</v>
      </c>
      <c r="B1240" t="s">
        <v>3172</v>
      </c>
      <c r="C1240" t="s">
        <v>3173</v>
      </c>
      <c r="D1240" t="s">
        <v>6</v>
      </c>
      <c r="E1240" t="s">
        <v>7</v>
      </c>
      <c r="F1240" t="s">
        <v>3174</v>
      </c>
    </row>
    <row r="1241" spans="1:6" x14ac:dyDescent="0.3">
      <c r="A1241" t="str">
        <f>HYPERLINK("https://hsdes.intel.com/resource/16013701110","16013701110")</f>
        <v>16013701110</v>
      </c>
      <c r="B1241" t="s">
        <v>3175</v>
      </c>
      <c r="C1241" t="s">
        <v>997</v>
      </c>
      <c r="D1241" t="s">
        <v>6</v>
      </c>
      <c r="E1241" t="s">
        <v>648</v>
      </c>
      <c r="F1241" t="s">
        <v>3176</v>
      </c>
    </row>
    <row r="1242" spans="1:6" x14ac:dyDescent="0.3">
      <c r="A1242" t="str">
        <f>HYPERLINK("https://hsdes.intel.com/resource/16013701830","16013701830")</f>
        <v>16013701830</v>
      </c>
      <c r="B1242" t="s">
        <v>3177</v>
      </c>
      <c r="C1242" t="s">
        <v>1280</v>
      </c>
      <c r="D1242" t="s">
        <v>6</v>
      </c>
      <c r="E1242" t="s">
        <v>7</v>
      </c>
      <c r="F1242" t="s">
        <v>3178</v>
      </c>
    </row>
    <row r="1243" spans="1:6" x14ac:dyDescent="0.3">
      <c r="A1243" t="str">
        <f>HYPERLINK("https://hsdes.intel.com/resource/16013702245","16013702245")</f>
        <v>16013702245</v>
      </c>
      <c r="B1243" t="s">
        <v>3179</v>
      </c>
      <c r="C1243" t="s">
        <v>1270</v>
      </c>
      <c r="D1243" t="s">
        <v>6</v>
      </c>
      <c r="E1243" t="s">
        <v>7</v>
      </c>
      <c r="F1243" t="s">
        <v>1156</v>
      </c>
    </row>
    <row r="1244" spans="1:6" x14ac:dyDescent="0.3">
      <c r="A1244" t="str">
        <f>HYPERLINK("https://hsdes.intel.com/resource/16013702337","16013702337")</f>
        <v>16013702337</v>
      </c>
      <c r="B1244" t="s">
        <v>3180</v>
      </c>
      <c r="C1244" t="s">
        <v>1203</v>
      </c>
      <c r="D1244" t="s">
        <v>6</v>
      </c>
      <c r="E1244" t="s">
        <v>7</v>
      </c>
      <c r="F1244" t="s">
        <v>626</v>
      </c>
    </row>
    <row r="1245" spans="1:6" x14ac:dyDescent="0.3">
      <c r="A1245" t="str">
        <f>HYPERLINK("https://hsdes.intel.com/resource/16013702493","16013702493")</f>
        <v>16013702493</v>
      </c>
      <c r="B1245" t="s">
        <v>3181</v>
      </c>
      <c r="C1245" t="s">
        <v>1276</v>
      </c>
      <c r="D1245" t="s">
        <v>6</v>
      </c>
      <c r="E1245" t="s">
        <v>7</v>
      </c>
      <c r="F1245" t="s">
        <v>626</v>
      </c>
    </row>
    <row r="1246" spans="1:6" x14ac:dyDescent="0.3">
      <c r="A1246" t="str">
        <f>HYPERLINK("https://hsdes.intel.com/resource/16014185861","16014185861")</f>
        <v>16014185861</v>
      </c>
      <c r="B1246" t="s">
        <v>3182</v>
      </c>
      <c r="D1246" t="s">
        <v>6</v>
      </c>
      <c r="E1246" t="s">
        <v>30</v>
      </c>
      <c r="F1246" t="s">
        <v>594</v>
      </c>
    </row>
    <row r="1247" spans="1:6" x14ac:dyDescent="0.3">
      <c r="A1247" t="str">
        <f>HYPERLINK("https://hsdes.intel.com/resource/16014193686","16014193686")</f>
        <v>16014193686</v>
      </c>
      <c r="B1247" t="s">
        <v>3183</v>
      </c>
      <c r="D1247" t="s">
        <v>6</v>
      </c>
      <c r="E1247" t="s">
        <v>30</v>
      </c>
      <c r="F1247" t="s">
        <v>585</v>
      </c>
    </row>
    <row r="1248" spans="1:6" x14ac:dyDescent="0.3">
      <c r="A1248" t="str">
        <f>HYPERLINK("https://hsdes.intel.com/resource/16014193951","16014193951")</f>
        <v>16014193951</v>
      </c>
      <c r="B1248" t="s">
        <v>3184</v>
      </c>
      <c r="D1248" t="s">
        <v>6</v>
      </c>
      <c r="E1248" t="s">
        <v>30</v>
      </c>
      <c r="F1248" t="s">
        <v>594</v>
      </c>
    </row>
    <row r="1249" spans="1:6" x14ac:dyDescent="0.3">
      <c r="A1249" t="str">
        <f>HYPERLINK("https://hsdes.intel.com/resource/16014195660","16014195660")</f>
        <v>16014195660</v>
      </c>
      <c r="B1249" t="s">
        <v>3185</v>
      </c>
      <c r="D1249" t="s">
        <v>6</v>
      </c>
      <c r="E1249" t="s">
        <v>30</v>
      </c>
      <c r="F1249" t="s">
        <v>594</v>
      </c>
    </row>
    <row r="1250" spans="1:6" x14ac:dyDescent="0.3">
      <c r="A1250" t="str">
        <f>HYPERLINK("https://hsdes.intel.com/resource/16014195667","16014195667")</f>
        <v>16014195667</v>
      </c>
      <c r="B1250" t="s">
        <v>3186</v>
      </c>
      <c r="D1250" t="s">
        <v>6</v>
      </c>
      <c r="E1250" t="s">
        <v>30</v>
      </c>
      <c r="F1250" t="s">
        <v>594</v>
      </c>
    </row>
    <row r="1251" spans="1:6" x14ac:dyDescent="0.3">
      <c r="A1251" t="str">
        <f>HYPERLINK("https://hsdes.intel.com/resource/16014195680","16014195680")</f>
        <v>16014195680</v>
      </c>
      <c r="B1251" t="s">
        <v>3187</v>
      </c>
      <c r="D1251" t="s">
        <v>6</v>
      </c>
      <c r="E1251" t="s">
        <v>30</v>
      </c>
      <c r="F1251" t="s">
        <v>594</v>
      </c>
    </row>
    <row r="1252" spans="1:6" x14ac:dyDescent="0.3">
      <c r="A1252" t="str">
        <f>HYPERLINK("https://hsdes.intel.com/resource/16014195699","16014195699")</f>
        <v>16014195699</v>
      </c>
      <c r="B1252" t="s">
        <v>3188</v>
      </c>
      <c r="D1252" t="s">
        <v>6</v>
      </c>
      <c r="E1252" t="s">
        <v>30</v>
      </c>
      <c r="F1252" t="s">
        <v>594</v>
      </c>
    </row>
    <row r="1253" spans="1:6" x14ac:dyDescent="0.3">
      <c r="A1253" t="str">
        <f>HYPERLINK("https://hsdes.intel.com/resource/16014195710","16014195710")</f>
        <v>16014195710</v>
      </c>
      <c r="B1253" t="s">
        <v>3189</v>
      </c>
      <c r="D1253" t="s">
        <v>6</v>
      </c>
      <c r="E1253" t="s">
        <v>30</v>
      </c>
      <c r="F1253" t="s">
        <v>594</v>
      </c>
    </row>
    <row r="1254" spans="1:6" x14ac:dyDescent="0.3">
      <c r="A1254" t="str">
        <f>HYPERLINK("https://hsdes.intel.com/resource/16014195743","16014195743")</f>
        <v>16014195743</v>
      </c>
      <c r="B1254" t="s">
        <v>3190</v>
      </c>
      <c r="D1254" t="s">
        <v>6</v>
      </c>
      <c r="E1254" t="s">
        <v>30</v>
      </c>
      <c r="F1254" t="s">
        <v>594</v>
      </c>
    </row>
    <row r="1255" spans="1:6" x14ac:dyDescent="0.3">
      <c r="A1255" t="str">
        <f>HYPERLINK("https://hsdes.intel.com/resource/16014195796","16014195796")</f>
        <v>16014195796</v>
      </c>
      <c r="B1255" t="s">
        <v>3191</v>
      </c>
      <c r="D1255" t="s">
        <v>6</v>
      </c>
      <c r="E1255" t="s">
        <v>30</v>
      </c>
      <c r="F1255" t="s">
        <v>594</v>
      </c>
    </row>
    <row r="1256" spans="1:6" x14ac:dyDescent="0.3">
      <c r="A1256" t="str">
        <f>HYPERLINK("https://hsdes.intel.com/resource/16014195873","16014195873")</f>
        <v>16014195873</v>
      </c>
      <c r="B1256" t="s">
        <v>3192</v>
      </c>
      <c r="D1256" t="s">
        <v>6</v>
      </c>
      <c r="E1256" t="s">
        <v>30</v>
      </c>
      <c r="F1256" t="s">
        <v>594</v>
      </c>
    </row>
    <row r="1257" spans="1:6" x14ac:dyDescent="0.3">
      <c r="A1257" t="str">
        <f>HYPERLINK("https://hsdes.intel.com/resource/16014195880","16014195880")</f>
        <v>16014195880</v>
      </c>
      <c r="B1257" t="s">
        <v>3193</v>
      </c>
      <c r="D1257" t="s">
        <v>6</v>
      </c>
      <c r="E1257" t="s">
        <v>30</v>
      </c>
      <c r="F1257" t="s">
        <v>594</v>
      </c>
    </row>
    <row r="1258" spans="1:6" x14ac:dyDescent="0.3">
      <c r="A1258" t="str">
        <f>HYPERLINK("https://hsdes.intel.com/resource/16014195895","16014195895")</f>
        <v>16014195895</v>
      </c>
      <c r="B1258" t="s">
        <v>3194</v>
      </c>
      <c r="D1258" t="s">
        <v>6</v>
      </c>
      <c r="E1258" t="s">
        <v>30</v>
      </c>
      <c r="F1258" t="s">
        <v>594</v>
      </c>
    </row>
    <row r="1259" spans="1:6" x14ac:dyDescent="0.3">
      <c r="A1259" t="str">
        <f>HYPERLINK("https://hsdes.intel.com/resource/16014206075","16014206075")</f>
        <v>16014206075</v>
      </c>
      <c r="B1259" t="s">
        <v>3195</v>
      </c>
      <c r="C1259" t="s">
        <v>962</v>
      </c>
      <c r="D1259" t="s">
        <v>6</v>
      </c>
      <c r="E1259" t="s">
        <v>648</v>
      </c>
      <c r="F1259" t="s">
        <v>3196</v>
      </c>
    </row>
    <row r="1260" spans="1:6" x14ac:dyDescent="0.3">
      <c r="A1260" t="str">
        <f>HYPERLINK("https://hsdes.intel.com/resource/16014206609","16014206609")</f>
        <v>16014206609</v>
      </c>
      <c r="B1260" t="s">
        <v>3197</v>
      </c>
      <c r="C1260" t="s">
        <v>962</v>
      </c>
      <c r="D1260" t="s">
        <v>6</v>
      </c>
      <c r="E1260" t="s">
        <v>7</v>
      </c>
      <c r="F1260" t="s">
        <v>3198</v>
      </c>
    </row>
    <row r="1261" spans="1:6" x14ac:dyDescent="0.3">
      <c r="A1261" t="str">
        <f>HYPERLINK("https://hsdes.intel.com/resource/16014212976","16014212976")</f>
        <v>16014212976</v>
      </c>
      <c r="B1261" t="s">
        <v>3199</v>
      </c>
      <c r="C1261" t="s">
        <v>962</v>
      </c>
      <c r="D1261" t="s">
        <v>6</v>
      </c>
      <c r="E1261" t="s">
        <v>7</v>
      </c>
      <c r="F1261" t="s">
        <v>3198</v>
      </c>
    </row>
    <row r="1262" spans="1:6" x14ac:dyDescent="0.3">
      <c r="A1262" t="str">
        <f>HYPERLINK("https://hsdes.intel.com/resource/16014217885","16014217885")</f>
        <v>16014217885</v>
      </c>
      <c r="B1262" t="s">
        <v>3200</v>
      </c>
      <c r="C1262" t="s">
        <v>962</v>
      </c>
      <c r="D1262" t="s">
        <v>6</v>
      </c>
      <c r="E1262" t="s">
        <v>7</v>
      </c>
      <c r="F1262" t="s">
        <v>3201</v>
      </c>
    </row>
    <row r="1263" spans="1:6" x14ac:dyDescent="0.3">
      <c r="A1263" t="str">
        <f>HYPERLINK("https://hsdes.intel.com/resource/16014218143","16014218143")</f>
        <v>16014218143</v>
      </c>
      <c r="B1263" t="s">
        <v>3202</v>
      </c>
      <c r="C1263" t="s">
        <v>962</v>
      </c>
      <c r="D1263" t="s">
        <v>6</v>
      </c>
      <c r="E1263" t="s">
        <v>7</v>
      </c>
      <c r="F1263" t="s">
        <v>3198</v>
      </c>
    </row>
    <row r="1264" spans="1:6" x14ac:dyDescent="0.3">
      <c r="A1264" t="str">
        <f>HYPERLINK("https://hsdes.intel.com/resource/16014267496","16014267496")</f>
        <v>16014267496</v>
      </c>
      <c r="B1264" t="s">
        <v>3203</v>
      </c>
      <c r="C1264" t="s">
        <v>2402</v>
      </c>
      <c r="D1264" t="s">
        <v>62</v>
      </c>
      <c r="E1264" t="s">
        <v>172</v>
      </c>
      <c r="F1264" t="s">
        <v>3204</v>
      </c>
    </row>
    <row r="1265" spans="1:6" x14ac:dyDescent="0.3">
      <c r="A1265" t="str">
        <f>HYPERLINK("https://hsdes.intel.com/resource/16014268151","16014268151")</f>
        <v>16014268151</v>
      </c>
      <c r="B1265" t="s">
        <v>3205</v>
      </c>
      <c r="C1265" t="s">
        <v>2402</v>
      </c>
      <c r="D1265" t="s">
        <v>62</v>
      </c>
      <c r="E1265" t="s">
        <v>172</v>
      </c>
      <c r="F1265" t="s">
        <v>3204</v>
      </c>
    </row>
    <row r="1266" spans="1:6" x14ac:dyDescent="0.3">
      <c r="A1266" t="str">
        <f>HYPERLINK("https://hsdes.intel.com/resource/16014268343","16014268343")</f>
        <v>16014268343</v>
      </c>
      <c r="B1266" t="s">
        <v>3206</v>
      </c>
      <c r="C1266" t="s">
        <v>2402</v>
      </c>
      <c r="D1266" t="s">
        <v>62</v>
      </c>
      <c r="E1266" t="s">
        <v>172</v>
      </c>
      <c r="F1266" t="s">
        <v>3204</v>
      </c>
    </row>
    <row r="1267" spans="1:6" x14ac:dyDescent="0.3">
      <c r="A1267" t="str">
        <f>HYPERLINK("https://hsdes.intel.com/resource/16014268794","16014268794")</f>
        <v>16014268794</v>
      </c>
      <c r="B1267" t="s">
        <v>3207</v>
      </c>
      <c r="C1267" t="s">
        <v>2402</v>
      </c>
      <c r="D1267" t="s">
        <v>62</v>
      </c>
      <c r="E1267" t="s">
        <v>172</v>
      </c>
      <c r="F1267" t="s">
        <v>3204</v>
      </c>
    </row>
    <row r="1268" spans="1:6" x14ac:dyDescent="0.3">
      <c r="A1268" t="str">
        <f>HYPERLINK("https://hsdes.intel.com/resource/16014269361","16014269361")</f>
        <v>16014269361</v>
      </c>
      <c r="B1268" t="s">
        <v>3208</v>
      </c>
      <c r="C1268" t="s">
        <v>2402</v>
      </c>
      <c r="D1268" t="s">
        <v>62</v>
      </c>
      <c r="E1268" t="s">
        <v>172</v>
      </c>
      <c r="F1268" t="s">
        <v>3204</v>
      </c>
    </row>
    <row r="1269" spans="1:6" x14ac:dyDescent="0.3">
      <c r="A1269" t="str">
        <f>HYPERLINK("https://hsdes.intel.com/resource/16014434357","16014434357")</f>
        <v>16014434357</v>
      </c>
      <c r="B1269" t="s">
        <v>3209</v>
      </c>
      <c r="C1269" t="s">
        <v>221</v>
      </c>
      <c r="D1269" t="s">
        <v>6</v>
      </c>
      <c r="E1269" t="s">
        <v>7</v>
      </c>
      <c r="F1269" t="s">
        <v>222</v>
      </c>
    </row>
    <row r="1270" spans="1:6" x14ac:dyDescent="0.3">
      <c r="A1270" t="str">
        <f>HYPERLINK("https://hsdes.intel.com/resource/16014434758","16014434758")</f>
        <v>16014434758</v>
      </c>
      <c r="B1270" t="s">
        <v>3210</v>
      </c>
      <c r="C1270" t="s">
        <v>221</v>
      </c>
      <c r="D1270" t="s">
        <v>6</v>
      </c>
      <c r="E1270" t="s">
        <v>7</v>
      </c>
      <c r="F1270" t="s">
        <v>3211</v>
      </c>
    </row>
    <row r="1271" spans="1:6" x14ac:dyDescent="0.3">
      <c r="A1271" t="str">
        <f>HYPERLINK("https://hsdes.intel.com/resource/16014452298","16014452298")</f>
        <v>16014452298</v>
      </c>
      <c r="B1271" t="s">
        <v>3212</v>
      </c>
      <c r="C1271" t="s">
        <v>1163</v>
      </c>
      <c r="D1271" t="s">
        <v>6</v>
      </c>
      <c r="E1271" t="s">
        <v>7</v>
      </c>
      <c r="F1271" t="s">
        <v>3178</v>
      </c>
    </row>
    <row r="1272" spans="1:6" x14ac:dyDescent="0.3">
      <c r="A1272" t="str">
        <f>HYPERLINK("https://hsdes.intel.com/resource/16014452382","16014452382")</f>
        <v>16014452382</v>
      </c>
      <c r="B1272" t="s">
        <v>3213</v>
      </c>
      <c r="C1272" t="s">
        <v>1166</v>
      </c>
      <c r="D1272" t="s">
        <v>6</v>
      </c>
      <c r="E1272" t="s">
        <v>7</v>
      </c>
      <c r="F1272" t="s">
        <v>3178</v>
      </c>
    </row>
    <row r="1273" spans="1:6" x14ac:dyDescent="0.3">
      <c r="A1273" t="str">
        <f>HYPERLINK("https://hsdes.intel.com/resource/16014452525","16014452525")</f>
        <v>16014452525</v>
      </c>
      <c r="B1273" t="s">
        <v>3214</v>
      </c>
      <c r="C1273" t="s">
        <v>1258</v>
      </c>
      <c r="D1273" t="s">
        <v>6</v>
      </c>
      <c r="E1273" t="s">
        <v>7</v>
      </c>
      <c r="F1273" t="s">
        <v>3178</v>
      </c>
    </row>
    <row r="1274" spans="1:6" x14ac:dyDescent="0.3">
      <c r="A1274" t="str">
        <f>HYPERLINK("https://hsdes.intel.com/resource/16014459216","16014459216")</f>
        <v>16014459216</v>
      </c>
      <c r="B1274" t="s">
        <v>3215</v>
      </c>
      <c r="C1274" t="s">
        <v>1231</v>
      </c>
      <c r="D1274" t="s">
        <v>6</v>
      </c>
      <c r="E1274" t="s">
        <v>7</v>
      </c>
      <c r="F1274" t="s">
        <v>3178</v>
      </c>
    </row>
    <row r="1275" spans="1:6" x14ac:dyDescent="0.3">
      <c r="A1275" t="str">
        <f>HYPERLINK("https://hsdes.intel.com/resource/16014459496","16014459496")</f>
        <v>16014459496</v>
      </c>
      <c r="B1275" t="s">
        <v>3216</v>
      </c>
      <c r="C1275" t="s">
        <v>1278</v>
      </c>
      <c r="D1275" t="s">
        <v>6</v>
      </c>
      <c r="E1275" t="s">
        <v>7</v>
      </c>
      <c r="F1275" t="s">
        <v>626</v>
      </c>
    </row>
    <row r="1276" spans="1:6" x14ac:dyDescent="0.3">
      <c r="A1276" t="str">
        <f>HYPERLINK("https://hsdes.intel.com/resource/16014500971","16014500971")</f>
        <v>16014500971</v>
      </c>
      <c r="B1276" t="s">
        <v>3217</v>
      </c>
      <c r="D1276" t="s">
        <v>142</v>
      </c>
      <c r="E1276" t="s">
        <v>30</v>
      </c>
      <c r="F1276" t="s">
        <v>594</v>
      </c>
    </row>
    <row r="1277" spans="1:6" x14ac:dyDescent="0.3">
      <c r="A1277" t="str">
        <f>HYPERLINK("https://hsdes.intel.com/resource/16014603595","16014603595")</f>
        <v>16014603595</v>
      </c>
      <c r="B1277" t="s">
        <v>3218</v>
      </c>
      <c r="D1277" t="s">
        <v>29</v>
      </c>
      <c r="E1277" t="s">
        <v>30</v>
      </c>
      <c r="F1277" t="s">
        <v>259</v>
      </c>
    </row>
    <row r="1278" spans="1:6" x14ac:dyDescent="0.3">
      <c r="A1278" t="str">
        <f>HYPERLINK("https://hsdes.intel.com/resource/16014777018","16014777018")</f>
        <v>16014777018</v>
      </c>
      <c r="B1278" t="s">
        <v>3219</v>
      </c>
      <c r="C1278" t="s">
        <v>3220</v>
      </c>
      <c r="D1278" t="s">
        <v>62</v>
      </c>
      <c r="E1278" t="s">
        <v>63</v>
      </c>
      <c r="F1278" t="s">
        <v>3221</v>
      </c>
    </row>
    <row r="1279" spans="1:6" x14ac:dyDescent="0.3">
      <c r="A1279" t="str">
        <f>HYPERLINK("https://hsdes.intel.com/resource/16014777355","16014777355")</f>
        <v>16014777355</v>
      </c>
      <c r="B1279" t="s">
        <v>3222</v>
      </c>
      <c r="C1279" t="s">
        <v>3220</v>
      </c>
      <c r="D1279" t="s">
        <v>62</v>
      </c>
      <c r="E1279" t="s">
        <v>63</v>
      </c>
      <c r="F1279" t="s">
        <v>3221</v>
      </c>
    </row>
    <row r="1280" spans="1:6" x14ac:dyDescent="0.3">
      <c r="A1280" t="str">
        <f>HYPERLINK("https://hsdes.intel.com/resource/16014813156","16014813156")</f>
        <v>16014813156</v>
      </c>
      <c r="B1280" t="s">
        <v>3223</v>
      </c>
      <c r="C1280" t="s">
        <v>3224</v>
      </c>
      <c r="D1280" t="s">
        <v>62</v>
      </c>
      <c r="E1280" t="s">
        <v>30</v>
      </c>
      <c r="F1280" t="s">
        <v>3225</v>
      </c>
    </row>
    <row r="1281" spans="1:6" x14ac:dyDescent="0.3">
      <c r="A1281" t="str">
        <f>HYPERLINK("https://hsdes.intel.com/resource/16014842310","16014842310")</f>
        <v>16014842310</v>
      </c>
      <c r="B1281" t="s">
        <v>3226</v>
      </c>
      <c r="C1281" t="s">
        <v>2940</v>
      </c>
      <c r="D1281" t="s">
        <v>17</v>
      </c>
      <c r="E1281" t="s">
        <v>30</v>
      </c>
      <c r="F1281" t="s">
        <v>3227</v>
      </c>
    </row>
    <row r="1282" spans="1:6" x14ac:dyDescent="0.3">
      <c r="A1282" t="str">
        <f>HYPERLINK("https://hsdes.intel.com/resource/16014848255","16014848255")</f>
        <v>16014848255</v>
      </c>
      <c r="B1282" t="s">
        <v>3228</v>
      </c>
      <c r="C1282" t="s">
        <v>3229</v>
      </c>
      <c r="D1282" t="s">
        <v>62</v>
      </c>
      <c r="E1282" t="s">
        <v>172</v>
      </c>
      <c r="F1282" t="s">
        <v>3230</v>
      </c>
    </row>
    <row r="1283" spans="1:6" x14ac:dyDescent="0.3">
      <c r="A1283" t="str">
        <f>HYPERLINK("https://hsdes.intel.com/resource/16014869116","16014869116")</f>
        <v>16014869116</v>
      </c>
      <c r="B1283" t="s">
        <v>3231</v>
      </c>
      <c r="C1283" t="s">
        <v>1506</v>
      </c>
      <c r="D1283" t="s">
        <v>17</v>
      </c>
      <c r="E1283" t="s">
        <v>30</v>
      </c>
      <c r="F1283" t="s">
        <v>3232</v>
      </c>
    </row>
    <row r="1284" spans="1:6" x14ac:dyDescent="0.3">
      <c r="A1284" t="str">
        <f>HYPERLINK("https://hsdes.intel.com/resource/16014869753","16014869753")</f>
        <v>16014869753</v>
      </c>
      <c r="B1284" t="s">
        <v>3233</v>
      </c>
      <c r="C1284" t="s">
        <v>596</v>
      </c>
      <c r="D1284" t="s">
        <v>17</v>
      </c>
      <c r="E1284" t="s">
        <v>30</v>
      </c>
      <c r="F1284" t="s">
        <v>3234</v>
      </c>
    </row>
    <row r="1285" spans="1:6" x14ac:dyDescent="0.3">
      <c r="A1285" t="str">
        <f>HYPERLINK("https://hsdes.intel.com/resource/16014902252","16014902252")</f>
        <v>16014902252</v>
      </c>
      <c r="B1285" t="s">
        <v>3235</v>
      </c>
      <c r="C1285" t="s">
        <v>2331</v>
      </c>
      <c r="D1285" t="s">
        <v>62</v>
      </c>
      <c r="E1285" t="s">
        <v>30</v>
      </c>
      <c r="F1285" t="s">
        <v>3225</v>
      </c>
    </row>
    <row r="1286" spans="1:6" x14ac:dyDescent="0.3">
      <c r="A1286" t="str">
        <f>HYPERLINK("https://hsdes.intel.com/resource/16014913066","16014913066")</f>
        <v>16014913066</v>
      </c>
      <c r="B1286" t="s">
        <v>3236</v>
      </c>
      <c r="C1286" t="s">
        <v>1456</v>
      </c>
      <c r="D1286" t="s">
        <v>17</v>
      </c>
      <c r="E1286" t="s">
        <v>30</v>
      </c>
      <c r="F1286" t="s">
        <v>3234</v>
      </c>
    </row>
    <row r="1287" spans="1:6" x14ac:dyDescent="0.3">
      <c r="A1287" t="str">
        <f>HYPERLINK("https://hsdes.intel.com/resource/16014919863","16014919863")</f>
        <v>16014919863</v>
      </c>
      <c r="B1287" t="s">
        <v>3237</v>
      </c>
      <c r="C1287" t="s">
        <v>492</v>
      </c>
      <c r="D1287" t="s">
        <v>17</v>
      </c>
      <c r="E1287" t="s">
        <v>30</v>
      </c>
      <c r="F1287" t="s">
        <v>3238</v>
      </c>
    </row>
    <row r="1288" spans="1:6" x14ac:dyDescent="0.3">
      <c r="A1288" t="str">
        <f>HYPERLINK("https://hsdes.intel.com/resource/16014929115","16014929115")</f>
        <v>16014929115</v>
      </c>
      <c r="B1288" t="s">
        <v>3239</v>
      </c>
      <c r="C1288" t="s">
        <v>296</v>
      </c>
      <c r="D1288" t="s">
        <v>17</v>
      </c>
      <c r="E1288" t="s">
        <v>30</v>
      </c>
      <c r="F1288" t="s">
        <v>3240</v>
      </c>
    </row>
    <row r="1289" spans="1:6" x14ac:dyDescent="0.3">
      <c r="A1289" t="str">
        <f>HYPERLINK("https://hsdes.intel.com/resource/16014929167","16014929167")</f>
        <v>16014929167</v>
      </c>
      <c r="B1289" t="s">
        <v>3241</v>
      </c>
      <c r="C1289" t="s">
        <v>619</v>
      </c>
      <c r="D1289" t="s">
        <v>17</v>
      </c>
      <c r="E1289" t="s">
        <v>18</v>
      </c>
      <c r="F1289" t="s">
        <v>3227</v>
      </c>
    </row>
    <row r="1290" spans="1:6" x14ac:dyDescent="0.3">
      <c r="A1290" t="str">
        <f>HYPERLINK("https://hsdes.intel.com/resource/16014934303","16014934303")</f>
        <v>16014934303</v>
      </c>
      <c r="B1290" t="s">
        <v>3242</v>
      </c>
      <c r="C1290" t="s">
        <v>1456</v>
      </c>
      <c r="D1290" t="s">
        <v>17</v>
      </c>
      <c r="E1290" t="s">
        <v>30</v>
      </c>
      <c r="F1290" t="s">
        <v>3243</v>
      </c>
    </row>
    <row r="1291" spans="1:6" x14ac:dyDescent="0.3">
      <c r="A1291" t="str">
        <f>HYPERLINK("https://hsdes.intel.com/resource/16015008992","16015008992")</f>
        <v>16015008992</v>
      </c>
      <c r="B1291" t="s">
        <v>3244</v>
      </c>
      <c r="D1291" t="s">
        <v>17</v>
      </c>
      <c r="E1291" t="s">
        <v>30</v>
      </c>
      <c r="F1291" t="s">
        <v>3245</v>
      </c>
    </row>
    <row r="1292" spans="1:6" x14ac:dyDescent="0.3">
      <c r="A1292" t="str">
        <f>HYPERLINK("https://hsdes.intel.com/resource/16015009035","16015009035")</f>
        <v>16015009035</v>
      </c>
      <c r="B1292" t="s">
        <v>3246</v>
      </c>
      <c r="C1292" t="s">
        <v>3247</v>
      </c>
      <c r="D1292" t="s">
        <v>17</v>
      </c>
      <c r="E1292" t="s">
        <v>30</v>
      </c>
      <c r="F1292" t="s">
        <v>3227</v>
      </c>
    </row>
    <row r="1293" spans="1:6" x14ac:dyDescent="0.3">
      <c r="A1293" t="str">
        <f>HYPERLINK("https://hsdes.intel.com/resource/16015014979","16015014979")</f>
        <v>16015014979</v>
      </c>
      <c r="B1293" t="s">
        <v>3248</v>
      </c>
      <c r="D1293" t="s">
        <v>17</v>
      </c>
      <c r="E1293" t="s">
        <v>30</v>
      </c>
      <c r="F1293" t="s">
        <v>3249</v>
      </c>
    </row>
    <row r="1294" spans="1:6" x14ac:dyDescent="0.3">
      <c r="A1294" t="str">
        <f>HYPERLINK("https://hsdes.intel.com/resource/16015018246","16015018246")</f>
        <v>16015018246</v>
      </c>
      <c r="B1294" t="s">
        <v>3250</v>
      </c>
      <c r="C1294" t="s">
        <v>199</v>
      </c>
      <c r="D1294" t="s">
        <v>17</v>
      </c>
      <c r="E1294" t="s">
        <v>18</v>
      </c>
      <c r="F1294" t="s">
        <v>3227</v>
      </c>
    </row>
    <row r="1295" spans="1:6" x14ac:dyDescent="0.3">
      <c r="A1295" t="str">
        <f>HYPERLINK("https://hsdes.intel.com/resource/16015055073","16015055073")</f>
        <v>16015055073</v>
      </c>
      <c r="B1295" t="s">
        <v>3251</v>
      </c>
      <c r="D1295" t="s">
        <v>6</v>
      </c>
      <c r="E1295" t="s">
        <v>30</v>
      </c>
      <c r="F1295" t="s">
        <v>3225</v>
      </c>
    </row>
    <row r="1296" spans="1:6" x14ac:dyDescent="0.3">
      <c r="A1296" t="str">
        <f>HYPERLINK("https://hsdes.intel.com/resource/16015067697","16015067697")</f>
        <v>16015067697</v>
      </c>
      <c r="B1296" t="s">
        <v>3252</v>
      </c>
      <c r="C1296" t="s">
        <v>3220</v>
      </c>
      <c r="D1296" t="s">
        <v>62</v>
      </c>
      <c r="E1296" t="s">
        <v>63</v>
      </c>
      <c r="F1296" t="s">
        <v>3225</v>
      </c>
    </row>
    <row r="1297" spans="1:6" x14ac:dyDescent="0.3">
      <c r="A1297" t="str">
        <f>HYPERLINK("https://hsdes.intel.com/resource/16015067899","16015067899")</f>
        <v>16015067899</v>
      </c>
      <c r="B1297" t="s">
        <v>3253</v>
      </c>
      <c r="C1297" t="s">
        <v>3220</v>
      </c>
      <c r="D1297" t="s">
        <v>62</v>
      </c>
      <c r="E1297" t="s">
        <v>63</v>
      </c>
      <c r="F1297" t="s">
        <v>3225</v>
      </c>
    </row>
    <row r="1298" spans="1:6" x14ac:dyDescent="0.3">
      <c r="A1298" t="str">
        <f>HYPERLINK("https://hsdes.intel.com/resource/16015089042","16015089042")</f>
        <v>16015089042</v>
      </c>
      <c r="B1298" t="s">
        <v>3254</v>
      </c>
      <c r="D1298" t="s">
        <v>29</v>
      </c>
      <c r="E1298" t="s">
        <v>30</v>
      </c>
      <c r="F1298" t="s">
        <v>3159</v>
      </c>
    </row>
    <row r="1299" spans="1:6" x14ac:dyDescent="0.3">
      <c r="A1299" t="str">
        <f>HYPERLINK("https://hsdes.intel.com/resource/16015170462","16015170462")</f>
        <v>16015170462</v>
      </c>
      <c r="B1299" t="s">
        <v>3255</v>
      </c>
      <c r="D1299" t="s">
        <v>6</v>
      </c>
      <c r="E1299" t="s">
        <v>3256</v>
      </c>
      <c r="F1299" t="s">
        <v>3240</v>
      </c>
    </row>
    <row r="1300" spans="1:6" x14ac:dyDescent="0.3">
      <c r="A1300" t="str">
        <f>HYPERLINK("https://hsdes.intel.com/resource/16015688861","16015688861")</f>
        <v>16015688861</v>
      </c>
      <c r="B1300" t="s">
        <v>3257</v>
      </c>
      <c r="D1300" t="s">
        <v>6</v>
      </c>
      <c r="E1300" t="s">
        <v>30</v>
      </c>
      <c r="F1300" t="s">
        <v>3258</v>
      </c>
    </row>
    <row r="1301" spans="1:6" x14ac:dyDescent="0.3">
      <c r="A1301" t="str">
        <f>HYPERLINK("https://hsdes.intel.com/resource/16015725278","16015725278")</f>
        <v>16015725278</v>
      </c>
      <c r="B1301" t="s">
        <v>3259</v>
      </c>
      <c r="D1301" t="s">
        <v>6</v>
      </c>
      <c r="E1301" t="s">
        <v>30</v>
      </c>
      <c r="F1301" t="s">
        <v>3260</v>
      </c>
    </row>
    <row r="1302" spans="1:6" x14ac:dyDescent="0.3">
      <c r="A1302" t="str">
        <f>HYPERLINK("https://hsdes.intel.com/resource/16017697851","16017697851")</f>
        <v>16017697851</v>
      </c>
      <c r="B1302" t="s">
        <v>3261</v>
      </c>
      <c r="D1302" t="s">
        <v>3262</v>
      </c>
      <c r="E1302" t="s">
        <v>3263</v>
      </c>
      <c r="F1302" t="s">
        <v>3159</v>
      </c>
    </row>
    <row r="1303" spans="1:6" x14ac:dyDescent="0.3">
      <c r="A1303" t="str">
        <f>HYPERLINK("https://hsdes.intel.com/resource/22011807682","22011807682")</f>
        <v>22011807682</v>
      </c>
      <c r="B1303" t="s">
        <v>3264</v>
      </c>
      <c r="C1303" t="s">
        <v>3265</v>
      </c>
      <c r="D1303" t="s">
        <v>142</v>
      </c>
      <c r="E1303" t="s">
        <v>30</v>
      </c>
      <c r="F1303" t="s">
        <v>99</v>
      </c>
    </row>
    <row r="1304" spans="1:6" x14ac:dyDescent="0.3">
      <c r="A1304" t="str">
        <f>HYPERLINK("https://hsdes.intel.com/resource/22011834241","22011834241")</f>
        <v>22011834241</v>
      </c>
      <c r="B1304" t="s">
        <v>3266</v>
      </c>
      <c r="C1304" t="s">
        <v>3267</v>
      </c>
      <c r="D1304" t="s">
        <v>17</v>
      </c>
      <c r="E1304" t="s">
        <v>30</v>
      </c>
      <c r="F1304" t="s">
        <v>1361</v>
      </c>
    </row>
    <row r="1305" spans="1:6" x14ac:dyDescent="0.3">
      <c r="A1305" t="str">
        <f>HYPERLINK("https://hsdes.intel.com/resource/22011834247","22011834247")</f>
        <v>22011834247</v>
      </c>
      <c r="B1305" t="s">
        <v>3268</v>
      </c>
      <c r="C1305" t="s">
        <v>3269</v>
      </c>
      <c r="D1305" t="s">
        <v>6</v>
      </c>
      <c r="E1305" t="s">
        <v>7</v>
      </c>
      <c r="F1305" t="s">
        <v>157</v>
      </c>
    </row>
    <row r="1306" spans="1:6" x14ac:dyDescent="0.3">
      <c r="A1306" t="str">
        <f>HYPERLINK("https://hsdes.intel.com/resource/22011834254","22011834254")</f>
        <v>22011834254</v>
      </c>
      <c r="B1306" t="s">
        <v>3270</v>
      </c>
      <c r="C1306" t="s">
        <v>3271</v>
      </c>
      <c r="D1306" t="s">
        <v>6</v>
      </c>
      <c r="E1306" t="s">
        <v>7</v>
      </c>
      <c r="F1306" t="s">
        <v>157</v>
      </c>
    </row>
    <row r="1307" spans="1:6" x14ac:dyDescent="0.3">
      <c r="A1307" t="str">
        <f>HYPERLINK("https://hsdes.intel.com/resource/22011834261","22011834261")</f>
        <v>22011834261</v>
      </c>
      <c r="B1307" t="s">
        <v>3272</v>
      </c>
      <c r="C1307" t="s">
        <v>3273</v>
      </c>
      <c r="D1307" t="s">
        <v>6</v>
      </c>
      <c r="E1307" t="s">
        <v>7</v>
      </c>
      <c r="F1307" t="s">
        <v>157</v>
      </c>
    </row>
    <row r="1308" spans="1:6" x14ac:dyDescent="0.3">
      <c r="A1308" t="str">
        <f>HYPERLINK("https://hsdes.intel.com/resource/22011834267","22011834267")</f>
        <v>22011834267</v>
      </c>
      <c r="B1308" t="s">
        <v>3274</v>
      </c>
      <c r="C1308" t="s">
        <v>3275</v>
      </c>
      <c r="D1308" t="s">
        <v>6</v>
      </c>
      <c r="E1308" t="s">
        <v>7</v>
      </c>
      <c r="F1308" t="s">
        <v>157</v>
      </c>
    </row>
    <row r="1309" spans="1:6" x14ac:dyDescent="0.3">
      <c r="A1309" t="str">
        <f>HYPERLINK("https://hsdes.intel.com/resource/22011834277","22011834277")</f>
        <v>22011834277</v>
      </c>
      <c r="B1309" t="s">
        <v>3276</v>
      </c>
      <c r="C1309" t="s">
        <v>3277</v>
      </c>
      <c r="D1309" t="s">
        <v>6</v>
      </c>
      <c r="E1309" t="s">
        <v>7</v>
      </c>
      <c r="F1309" t="s">
        <v>157</v>
      </c>
    </row>
    <row r="1310" spans="1:6" x14ac:dyDescent="0.3">
      <c r="A1310" t="str">
        <f>HYPERLINK("https://hsdes.intel.com/resource/22011834363","22011834363")</f>
        <v>22011834363</v>
      </c>
      <c r="B1310" t="s">
        <v>3278</v>
      </c>
      <c r="C1310" t="s">
        <v>3279</v>
      </c>
      <c r="D1310" t="s">
        <v>6</v>
      </c>
      <c r="E1310" t="s">
        <v>7</v>
      </c>
      <c r="F1310" t="s">
        <v>1419</v>
      </c>
    </row>
    <row r="1311" spans="1:6" x14ac:dyDescent="0.3">
      <c r="A1311" t="str">
        <f>HYPERLINK("https://hsdes.intel.com/resource/22011834371","22011834371")</f>
        <v>22011834371</v>
      </c>
      <c r="B1311" t="s">
        <v>3280</v>
      </c>
      <c r="C1311" t="s">
        <v>3281</v>
      </c>
      <c r="D1311" t="s">
        <v>6</v>
      </c>
      <c r="E1311" t="s">
        <v>7</v>
      </c>
      <c r="F1311" t="s">
        <v>3282</v>
      </c>
    </row>
    <row r="1312" spans="1:6" x14ac:dyDescent="0.3">
      <c r="A1312" t="str">
        <f>HYPERLINK("https://hsdes.intel.com/resource/22011834384","22011834384")</f>
        <v>22011834384</v>
      </c>
      <c r="B1312" t="s">
        <v>3283</v>
      </c>
      <c r="C1312" t="s">
        <v>3284</v>
      </c>
      <c r="D1312" t="s">
        <v>6</v>
      </c>
      <c r="E1312" t="s">
        <v>1734</v>
      </c>
      <c r="F1312" t="s">
        <v>3285</v>
      </c>
    </row>
    <row r="1313" spans="1:6" x14ac:dyDescent="0.3">
      <c r="A1313" t="str">
        <f>HYPERLINK("https://hsdes.intel.com/resource/22011834386","22011834386")</f>
        <v>22011834386</v>
      </c>
      <c r="B1313" t="s">
        <v>3286</v>
      </c>
      <c r="C1313" t="s">
        <v>3287</v>
      </c>
      <c r="D1313" t="s">
        <v>6</v>
      </c>
      <c r="E1313" t="s">
        <v>7</v>
      </c>
      <c r="F1313" t="s">
        <v>1419</v>
      </c>
    </row>
    <row r="1314" spans="1:6" x14ac:dyDescent="0.3">
      <c r="A1314" t="str">
        <f>HYPERLINK("https://hsdes.intel.com/resource/22011834390","22011834390")</f>
        <v>22011834390</v>
      </c>
      <c r="B1314" t="s">
        <v>3288</v>
      </c>
      <c r="C1314" t="s">
        <v>3289</v>
      </c>
      <c r="D1314" t="s">
        <v>6</v>
      </c>
      <c r="E1314" t="s">
        <v>7</v>
      </c>
      <c r="F1314" t="s">
        <v>574</v>
      </c>
    </row>
    <row r="1315" spans="1:6" x14ac:dyDescent="0.3">
      <c r="A1315" t="str">
        <f>HYPERLINK("https://hsdes.intel.com/resource/22011834418","22011834418")</f>
        <v>22011834418</v>
      </c>
      <c r="B1315" t="s">
        <v>3290</v>
      </c>
      <c r="C1315" t="s">
        <v>3291</v>
      </c>
      <c r="D1315" t="s">
        <v>6</v>
      </c>
      <c r="E1315" t="s">
        <v>7</v>
      </c>
      <c r="F1315" t="s">
        <v>594</v>
      </c>
    </row>
    <row r="1316" spans="1:6" x14ac:dyDescent="0.3">
      <c r="A1316" t="str">
        <f>HYPERLINK("https://hsdes.intel.com/resource/22011834422","22011834422")</f>
        <v>22011834422</v>
      </c>
      <c r="B1316" t="s">
        <v>3292</v>
      </c>
      <c r="C1316" t="s">
        <v>3293</v>
      </c>
      <c r="D1316" t="s">
        <v>6</v>
      </c>
      <c r="E1316" t="s">
        <v>7</v>
      </c>
      <c r="F1316" t="s">
        <v>3294</v>
      </c>
    </row>
    <row r="1317" spans="1:6" x14ac:dyDescent="0.3">
      <c r="A1317" t="str">
        <f>HYPERLINK("https://hsdes.intel.com/resource/22011834426","22011834426")</f>
        <v>22011834426</v>
      </c>
      <c r="B1317" t="s">
        <v>3295</v>
      </c>
      <c r="C1317" t="s">
        <v>3296</v>
      </c>
      <c r="D1317" t="s">
        <v>6</v>
      </c>
      <c r="E1317" t="s">
        <v>7</v>
      </c>
      <c r="F1317" t="s">
        <v>574</v>
      </c>
    </row>
    <row r="1318" spans="1:6" x14ac:dyDescent="0.3">
      <c r="A1318" t="str">
        <f>HYPERLINK("https://hsdes.intel.com/resource/22011834428","22011834428")</f>
        <v>22011834428</v>
      </c>
      <c r="B1318" t="s">
        <v>3297</v>
      </c>
      <c r="C1318" t="s">
        <v>3298</v>
      </c>
      <c r="D1318" t="s">
        <v>6</v>
      </c>
      <c r="E1318" t="s">
        <v>7</v>
      </c>
      <c r="F1318" t="s">
        <v>574</v>
      </c>
    </row>
    <row r="1319" spans="1:6" x14ac:dyDescent="0.3">
      <c r="A1319" t="str">
        <f>HYPERLINK("https://hsdes.intel.com/resource/22011834453","22011834453")</f>
        <v>22011834453</v>
      </c>
      <c r="B1319" t="s">
        <v>3299</v>
      </c>
      <c r="C1319" t="s">
        <v>3300</v>
      </c>
      <c r="D1319" t="s">
        <v>6</v>
      </c>
      <c r="E1319" t="s">
        <v>7</v>
      </c>
      <c r="F1319" t="s">
        <v>3301</v>
      </c>
    </row>
    <row r="1320" spans="1:6" x14ac:dyDescent="0.3">
      <c r="A1320" t="str">
        <f>HYPERLINK("https://hsdes.intel.com/resource/22011834456","22011834456")</f>
        <v>22011834456</v>
      </c>
      <c r="B1320" t="s">
        <v>3302</v>
      </c>
      <c r="C1320" t="s">
        <v>3303</v>
      </c>
      <c r="D1320" t="s">
        <v>6</v>
      </c>
      <c r="E1320" t="s">
        <v>7</v>
      </c>
      <c r="F1320" t="s">
        <v>3304</v>
      </c>
    </row>
    <row r="1321" spans="1:6" x14ac:dyDescent="0.3">
      <c r="A1321" t="str">
        <f>HYPERLINK("https://hsdes.intel.com/resource/22011834460","22011834460")</f>
        <v>22011834460</v>
      </c>
      <c r="B1321" t="s">
        <v>3305</v>
      </c>
      <c r="C1321" t="s">
        <v>3306</v>
      </c>
      <c r="D1321" t="s">
        <v>6</v>
      </c>
      <c r="E1321" t="s">
        <v>7</v>
      </c>
      <c r="F1321" t="s">
        <v>610</v>
      </c>
    </row>
    <row r="1322" spans="1:6" x14ac:dyDescent="0.3">
      <c r="A1322" t="str">
        <f>HYPERLINK("https://hsdes.intel.com/resource/22011834465","22011834465")</f>
        <v>22011834465</v>
      </c>
      <c r="B1322" t="s">
        <v>3307</v>
      </c>
      <c r="C1322" t="s">
        <v>3308</v>
      </c>
      <c r="D1322" t="s">
        <v>6</v>
      </c>
      <c r="E1322" t="s">
        <v>7</v>
      </c>
      <c r="F1322" t="s">
        <v>3304</v>
      </c>
    </row>
    <row r="1323" spans="1:6" x14ac:dyDescent="0.3">
      <c r="A1323" t="str">
        <f>HYPERLINK("https://hsdes.intel.com/resource/22011834481","22011834481")</f>
        <v>22011834481</v>
      </c>
      <c r="B1323" t="s">
        <v>3309</v>
      </c>
      <c r="C1323" t="s">
        <v>3310</v>
      </c>
      <c r="D1323" t="s">
        <v>17</v>
      </c>
      <c r="E1323" t="s">
        <v>30</v>
      </c>
      <c r="F1323" t="s">
        <v>3311</v>
      </c>
    </row>
    <row r="1324" spans="1:6" x14ac:dyDescent="0.3">
      <c r="A1324" t="str">
        <f>HYPERLINK("https://hsdes.intel.com/resource/22011834488","22011834488")</f>
        <v>22011834488</v>
      </c>
      <c r="B1324" t="s">
        <v>3312</v>
      </c>
      <c r="C1324" t="s">
        <v>3313</v>
      </c>
      <c r="D1324" t="s">
        <v>17</v>
      </c>
      <c r="E1324" t="s">
        <v>30</v>
      </c>
      <c r="F1324" t="s">
        <v>3311</v>
      </c>
    </row>
    <row r="1325" spans="1:6" x14ac:dyDescent="0.3">
      <c r="A1325" t="str">
        <f>HYPERLINK("https://hsdes.intel.com/resource/22011834502","22011834502")</f>
        <v>22011834502</v>
      </c>
      <c r="B1325" t="s">
        <v>3314</v>
      </c>
      <c r="C1325" t="s">
        <v>3315</v>
      </c>
      <c r="D1325" t="s">
        <v>17</v>
      </c>
      <c r="E1325" t="s">
        <v>30</v>
      </c>
      <c r="F1325" t="s">
        <v>3311</v>
      </c>
    </row>
    <row r="1326" spans="1:6" x14ac:dyDescent="0.3">
      <c r="A1326" t="str">
        <f>HYPERLINK("https://hsdes.intel.com/resource/22011834525","22011834525")</f>
        <v>22011834525</v>
      </c>
      <c r="B1326" t="s">
        <v>3316</v>
      </c>
      <c r="C1326" t="s">
        <v>3317</v>
      </c>
      <c r="D1326" t="s">
        <v>22</v>
      </c>
      <c r="E1326" t="s">
        <v>30</v>
      </c>
      <c r="F1326" t="s">
        <v>3318</v>
      </c>
    </row>
    <row r="1327" spans="1:6" x14ac:dyDescent="0.3">
      <c r="A1327" t="str">
        <f>HYPERLINK("https://hsdes.intel.com/resource/22011834529","22011834529")</f>
        <v>22011834529</v>
      </c>
      <c r="B1327" t="s">
        <v>3319</v>
      </c>
      <c r="C1327" t="s">
        <v>3173</v>
      </c>
      <c r="D1327" t="s">
        <v>6</v>
      </c>
      <c r="E1327" t="s">
        <v>7</v>
      </c>
      <c r="F1327" t="s">
        <v>3174</v>
      </c>
    </row>
    <row r="1328" spans="1:6" x14ac:dyDescent="0.3">
      <c r="A1328" t="str">
        <f>HYPERLINK("https://hsdes.intel.com/resource/22011834531","22011834531")</f>
        <v>22011834531</v>
      </c>
      <c r="B1328" t="s">
        <v>3320</v>
      </c>
      <c r="C1328" t="s">
        <v>3321</v>
      </c>
      <c r="D1328" t="s">
        <v>6</v>
      </c>
      <c r="E1328" t="s">
        <v>7</v>
      </c>
      <c r="F1328" t="s">
        <v>3322</v>
      </c>
    </row>
    <row r="1329" spans="1:6" x14ac:dyDescent="0.3">
      <c r="A1329" t="str">
        <f>HYPERLINK("https://hsdes.intel.com/resource/22011834561","22011834561")</f>
        <v>22011834561</v>
      </c>
      <c r="B1329" t="s">
        <v>3323</v>
      </c>
      <c r="C1329" t="s">
        <v>3324</v>
      </c>
      <c r="D1329" t="s">
        <v>6</v>
      </c>
      <c r="E1329" t="s">
        <v>7</v>
      </c>
      <c r="F1329" t="s">
        <v>3325</v>
      </c>
    </row>
    <row r="1330" spans="1:6" x14ac:dyDescent="0.3">
      <c r="A1330" t="str">
        <f>HYPERLINK("https://hsdes.intel.com/resource/22011834581","22011834581")</f>
        <v>22011834581</v>
      </c>
      <c r="B1330" t="s">
        <v>3326</v>
      </c>
      <c r="C1330" t="s">
        <v>3327</v>
      </c>
      <c r="D1330" t="s">
        <v>6</v>
      </c>
      <c r="E1330" t="s">
        <v>7</v>
      </c>
      <c r="F1330" t="s">
        <v>3328</v>
      </c>
    </row>
    <row r="1331" spans="1:6" x14ac:dyDescent="0.3">
      <c r="A1331" t="str">
        <f>HYPERLINK("https://hsdes.intel.com/resource/22011834584","22011834584")</f>
        <v>22011834584</v>
      </c>
      <c r="B1331" t="s">
        <v>3329</v>
      </c>
      <c r="C1331" t="s">
        <v>3330</v>
      </c>
      <c r="D1331" t="s">
        <v>6</v>
      </c>
      <c r="E1331" t="s">
        <v>7</v>
      </c>
      <c r="F1331" t="s">
        <v>3325</v>
      </c>
    </row>
    <row r="1332" spans="1:6" x14ac:dyDescent="0.3">
      <c r="A1332" t="str">
        <f>HYPERLINK("https://hsdes.intel.com/resource/22011834594","22011834594")</f>
        <v>22011834594</v>
      </c>
      <c r="B1332" t="s">
        <v>3331</v>
      </c>
      <c r="C1332" t="s">
        <v>3332</v>
      </c>
      <c r="D1332" t="s">
        <v>6</v>
      </c>
      <c r="E1332" t="s">
        <v>7</v>
      </c>
      <c r="F1332" t="s">
        <v>3325</v>
      </c>
    </row>
    <row r="1333" spans="1:6" x14ac:dyDescent="0.3">
      <c r="A1333" t="str">
        <f>HYPERLINK("https://hsdes.intel.com/resource/22011834598","22011834598")</f>
        <v>22011834598</v>
      </c>
      <c r="B1333" t="s">
        <v>3333</v>
      </c>
      <c r="C1333" t="s">
        <v>3334</v>
      </c>
      <c r="D1333" t="s">
        <v>6</v>
      </c>
      <c r="E1333" t="s">
        <v>7</v>
      </c>
      <c r="F1333" t="s">
        <v>3325</v>
      </c>
    </row>
    <row r="1334" spans="1:6" x14ac:dyDescent="0.3">
      <c r="A1334" t="str">
        <f>HYPERLINK("https://hsdes.intel.com/resource/22013170891","22013170891")</f>
        <v>22013170891</v>
      </c>
      <c r="B1334" t="s">
        <v>3335</v>
      </c>
      <c r="D1334" t="s">
        <v>3336</v>
      </c>
      <c r="E1334" t="s">
        <v>3263</v>
      </c>
      <c r="F1334" t="s">
        <v>3337</v>
      </c>
    </row>
    <row r="1335" spans="1:6" x14ac:dyDescent="0.3">
      <c r="A1335" t="str">
        <f>HYPERLINK("https://hsdes.intel.com/resource/22013999860","22013999860")</f>
        <v>22013999860</v>
      </c>
      <c r="B1335" t="s">
        <v>3338</v>
      </c>
      <c r="C1335" t="s">
        <v>1143</v>
      </c>
      <c r="D1335" t="s">
        <v>17</v>
      </c>
      <c r="E1335" t="s">
        <v>30</v>
      </c>
      <c r="F1335" t="s">
        <v>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FIVC_BIOS_RPL-Hx update + RPL-H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Agarwal, Naman</cp:lastModifiedBy>
  <dcterms:created xsi:type="dcterms:W3CDTF">2023-04-11T18:20:03Z</dcterms:created>
  <dcterms:modified xsi:type="dcterms:W3CDTF">2023-04-11T18:20:03Z</dcterms:modified>
</cp:coreProperties>
</file>