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NAMAN\Share\YBO\RPL_Hx Manual Reports\RPL_Hx_Ext-bat\"/>
    </mc:Choice>
  </mc:AlternateContent>
  <xr:revisionPtr revIDLastSave="0" documentId="13_ncr:1_{798FA5EA-E21D-4494-A2DA-8AEB85CF7B8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_FilterDatabase" localSheetId="0" hidden="1">Sheet1!$A$1:$H$634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634" i="1" l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<sst xmlns="http://schemas.openxmlformats.org/spreadsheetml/2006/main" count="3777" uniqueCount="1255">
  <si>
    <t>jama_id</t>
  </si>
  <si>
    <t>Status</t>
  </si>
  <si>
    <t>Actual Resut</t>
  </si>
  <si>
    <t>jama_platform_feature_and_capability</t>
  </si>
  <si>
    <t>domain</t>
  </si>
  <si>
    <t>test_complexity</t>
  </si>
  <si>
    <t>CSS-IVE-133066</t>
  </si>
  <si>
    <t>Verify Type-C USB3.1 gen2 device enumeration over Type-C port after resume from S3 with Retimer Compliance mode Enable/Disable</t>
  </si>
  <si>
    <t>Passed</t>
  </si>
  <si>
    <t>TCSS</t>
  </si>
  <si>
    <t>io_usb.type_c_subsystem</t>
  </si>
  <si>
    <t>Medium</t>
  </si>
  <si>
    <t>CSS-IVE-50897</t>
  </si>
  <si>
    <t>Verify Fan rotation speed at the time of temperature crosses active trip point during OS hung condition</t>
  </si>
  <si>
    <t>Thermal Management</t>
  </si>
  <si>
    <t>thermal_management</t>
  </si>
  <si>
    <t>Low</t>
  </si>
  <si>
    <t>CSS-IVE-50921</t>
  </si>
  <si>
    <t>Verify System wakes from C-MoS using USB device connected to USB Type-C port</t>
  </si>
  <si>
    <t>CSS-IVE-50984</t>
  </si>
  <si>
    <t>Verify system stability after S4 and S5 cycles via power button</t>
  </si>
  <si>
    <t>Power Management</t>
  </si>
  <si>
    <t>power_management</t>
  </si>
  <si>
    <t>CSS-IVE-51252</t>
  </si>
  <si>
    <t>Verify if BIOS provides option to enable/disable ISH and corresponding sensors are reflected in OS</t>
  </si>
  <si>
    <t>Touch &amp; Sensing</t>
  </si>
  <si>
    <t>sensor</t>
  </si>
  <si>
    <t>CSS-IVE-52386</t>
  </si>
  <si>
    <t>Verify BIOS reports correct SMBIOS table structure</t>
  </si>
  <si>
    <t>Industry Specs and Open source initiatives</t>
  </si>
  <si>
    <t>system</t>
  </si>
  <si>
    <t>CSS-IVE-52484</t>
  </si>
  <si>
    <t>Validate GOP driver enumeration in UEFI</t>
  </si>
  <si>
    <t>Display, Graphics, Video and Audio</t>
  </si>
  <si>
    <t>graphics</t>
  </si>
  <si>
    <t>CSS-IVE-54154</t>
  </si>
  <si>
    <t>Verify that BIOS presents options to change the Boot Order</t>
  </si>
  <si>
    <t>Platform Config and Board BOM</t>
  </si>
  <si>
    <t>reset</t>
  </si>
  <si>
    <t>CSS-IVE-54199</t>
  </si>
  <si>
    <t>Verify CPU frequency transitions based on Turbo status</t>
  </si>
  <si>
    <t>High</t>
  </si>
  <si>
    <t>CSS-IVE-54313</t>
  </si>
  <si>
    <t>Verify system stability post Hibernate(S4) cycling</t>
  </si>
  <si>
    <t>CSS-IVE-54316</t>
  </si>
  <si>
    <t>Verify system stability post Warm reboot cycles</t>
  </si>
  <si>
    <t>CSS-IVE-59243</t>
  </si>
  <si>
    <t>Verify system exit from Connected Modern standby / S0i3 state via USB mouse</t>
  </si>
  <si>
    <t>CSS-IVE-61677</t>
  </si>
  <si>
    <t>Validate digital audio functionality over Type-C port</t>
  </si>
  <si>
    <t>CSS-IVE-61820</t>
  </si>
  <si>
    <t>Verify SUT Entry and Exit in CS Low Power Mode</t>
  </si>
  <si>
    <t>power_management.modern_standby</t>
  </si>
  <si>
    <t>CSS-IVE-61826</t>
  </si>
  <si>
    <t>Verify the basic functionality of Virtual Battery switch</t>
  </si>
  <si>
    <t>Embedded controller and Power sources</t>
  </si>
  <si>
    <t>CSS-IVE-61832</t>
  </si>
  <si>
    <t>Verify that SUT boots to S0 from G3 in   AC  mode with   AC  brick</t>
  </si>
  <si>
    <t>CSS-IVE-145505</t>
  </si>
  <si>
    <t>Verify ISH(Integrated sensor hub) enumeration for BOM1 configuration</t>
  </si>
  <si>
    <t>CSS-IVE-145627</t>
  </si>
  <si>
    <t>Verify BIOS shall display an option to set the IP address and port number of the Intel  AMT provisioning server under MEBx menu.</t>
  </si>
  <si>
    <t>Manageability Support</t>
  </si>
  <si>
    <t>manageability</t>
  </si>
  <si>
    <t>CSS-IVE-145646</t>
  </si>
  <si>
    <t>Verify  Host Name could be set successfully under MEBx in BIOS</t>
  </si>
  <si>
    <t>CSS-IVE-145648</t>
  </si>
  <si>
    <t>Verify if AMT configuration menu is accessible under MEBx setup in BIOS</t>
  </si>
  <si>
    <t>CSS-IVE-145651</t>
  </si>
  <si>
    <t>Verify KVM can be enabled/disabled in BIOS under MEBx menu</t>
  </si>
  <si>
    <t>CSS-IVE-145658</t>
  </si>
  <si>
    <t>Verify Local FW Updates option is available in BIOS Setup</t>
  </si>
  <si>
    <t>CSS-IVE-145656</t>
  </si>
  <si>
    <t>Verify if MEBx password change is accepted (for password meeting specific criteria) and is successfully accepted on subsequent entries under MEBx menu in BIOS</t>
  </si>
  <si>
    <t>CSS-IVE-145657</t>
  </si>
  <si>
    <t>Verify "Password Policy" is set to "Any Time" under MEBx Setup option in BIOS</t>
  </si>
  <si>
    <t>CSS-IVE-145661</t>
  </si>
  <si>
    <t>Verify BIOS integrated MEBx menu is not exposed with Consumer BIOS with Vpro supported Silicon</t>
  </si>
  <si>
    <t>CSS-IVE-145877</t>
  </si>
  <si>
    <t>Verify that Ctrl+P option should not displayed during SUT boot  and should not enter into MEBx windows with ME Corporate SKU</t>
  </si>
  <si>
    <t>CSS-IVE-50533</t>
  </si>
  <si>
    <t>BIOS should update the changes for SMBIOS type 7</t>
  </si>
  <si>
    <t>CSS-IVE-50834</t>
  </si>
  <si>
    <t>Verify flex ratio can be set between HFM and LFM ratio</t>
  </si>
  <si>
    <t>CSS-IVE-50711</t>
  </si>
  <si>
    <t>Verify CPU switches between all P-states when Number of P states set to 0</t>
  </si>
  <si>
    <t>CSS-IVE-50714</t>
  </si>
  <si>
    <t>Verify Bios gives an option to configure Intel Processor Trace Feature(RTIT)</t>
  </si>
  <si>
    <t>Failed</t>
  </si>
  <si>
    <t>HSD Fail: 16017991570 : [RPL S][RPL-Hx] [BIOS][REGRESSION in Patch 0x109 &amp; 0x10B]:CAT error observed after enabling processor trace option  in BIOS page.</t>
  </si>
  <si>
    <t>CSS-IVE-50532</t>
  </si>
  <si>
    <t>BIOS should update the changes for SMBIOS type 4 [Processor Information]</t>
  </si>
  <si>
    <t>CSS-IVE-80988</t>
  </si>
  <si>
    <t>Verify that BIOS gives an option to change Tcc Activation Offset</t>
  </si>
  <si>
    <t>CSS-IVE-101382</t>
  </si>
  <si>
    <t>Verify C-state residencies during Connected Modern Standby/S0i3 with system in AC mode</t>
  </si>
  <si>
    <t>CSS-IVE-101752</t>
  </si>
  <si>
    <t>Verify if Intel SelfTest completes successfully</t>
  </si>
  <si>
    <t>processor_core</t>
  </si>
  <si>
    <t>CSS-IVE-86458</t>
  </si>
  <si>
    <t>Verify Chipset information displayed in BIOS</t>
  </si>
  <si>
    <t>CSS-IVE-102254</t>
  </si>
  <si>
    <t>Validate system residency for SLP_S0 post audio playback in Connected MOS/S0i3 mode</t>
  </si>
  <si>
    <t>CSS-IVE-118232</t>
  </si>
  <si>
    <t>Verify platform"s Power Limit 1 and Power Limit 2 values</t>
  </si>
  <si>
    <t>CSS-IVE-118302</t>
  </si>
  <si>
    <t>Verify user configured Power Limit 1 and Power Limit 2 values gets reflected correctly as part of PACKAGE_RAPL_LIMIT_0_0_0_MCHBAR_PCU MMIO region</t>
  </si>
  <si>
    <t>CSS-IVE-118303</t>
  </si>
  <si>
    <t>Verify Bios configured Power Limit 4</t>
  </si>
  <si>
    <t>CSS-IVE-118304</t>
  </si>
  <si>
    <t>Verify user configured Power Limit 4 values pre and post Sx cycles</t>
  </si>
  <si>
    <t>CSS-IVE-120310</t>
  </si>
  <si>
    <t>Verify system stability on changing power state settings</t>
  </si>
  <si>
    <t>CSS-IVE-135510</t>
  </si>
  <si>
    <t>[Hybrid]Verify that BIOS can have active processor cores with Hyper Threading (SMT) enabled in [Dual Big core + Octa Small core] SKUs with Small cores  Enabled(2C+8A)</t>
  </si>
  <si>
    <t>CSS-IVE-135511</t>
  </si>
  <si>
    <t>[Hybrid]Verify that BIOS can have active processor cores with Hyper Threading (SMT) enabled in [Octa Big Core + Octa Small Core] SKUs when Small cores and Big core is Enabled (8C+8A)</t>
  </si>
  <si>
    <t>CSS-IVE-135513</t>
  </si>
  <si>
    <t>[Hybrid]Verify that BIOS can have active processor cores with Hyper Threading (SMT) enabled in [Dual Big Core+Octa Small cores] SKUs with Small cores and Big Core is enabled (2C+8A)</t>
  </si>
  <si>
    <t>CSS-IVE-135517</t>
  </si>
  <si>
    <t>[Hybrid]Verify 3D benchmark tool  on Hybrid Processor When Big and Small Cores are enabled</t>
  </si>
  <si>
    <t>CSS-IVE-135518</t>
  </si>
  <si>
    <t>[Hybrid]Verify 3D benchmark tool  on Hybrid Processor When Big is enabled and Small Cores is disabled</t>
  </si>
  <si>
    <t>CSS-IVE-135519</t>
  </si>
  <si>
    <t>[Hybrid]Verify 3D benchmark tool  on Hybrid Processor When Big is Disabled/1 and Small Cores is Enabled</t>
  </si>
  <si>
    <t>CSS-IVE-135520</t>
  </si>
  <si>
    <t>[Hybrid]Verify core and thread in  BIOS/EFI , when core 1  is enabled</t>
  </si>
  <si>
    <t>CSS-IVE-135556</t>
  </si>
  <si>
    <t>[Hybrid]Verify 3D benchmark tool  on Hybrid Processor When Big and Small core is Enabled and Hyper-Threading is  Disabled</t>
  </si>
  <si>
    <t>CSS-IVE-145235</t>
  </si>
  <si>
    <t>[Hybrid]Verify that BIOS can have active processor cores with Hyper Threading (SMT) enabled in [Octa Big Core + Octa Small Core] SKUs with and without all Small cores disabled</t>
  </si>
  <si>
    <t>CSS-IVE-145268</t>
  </si>
  <si>
    <t>[Hybrid]Verify that BIOS can have active processor cores with Hyper Threading (SMT) enabled in Hetero Big Core SKUs with  all Small cores disabled</t>
  </si>
  <si>
    <t>CSS-IVE-147222</t>
  </si>
  <si>
    <t>Verify CNVi BT/ WiFi enumeration in the device manager when BT/WiFI core enabled and disabled in the setup</t>
  </si>
  <si>
    <t>Networking and Connectivity</t>
  </si>
  <si>
    <t>connectivity</t>
  </si>
  <si>
    <t>CSS-IVE-65922</t>
  </si>
  <si>
    <t>Verify no errors or failures get registered as part of event viewer log post Sx cycles</t>
  </si>
  <si>
    <t>CSS-IVE-69090</t>
  </si>
  <si>
    <t>Verify system stability post applying workload on CPU</t>
  </si>
  <si>
    <t>CSS-IVE-70874</t>
  </si>
  <si>
    <t>Verify Legacy USB devices (Pendrive, Mouse and Keyboard) functionality over TBT port after S3 ,S4 and S5 Cycles</t>
  </si>
  <si>
    <t>CSS-IVE-71016</t>
  </si>
  <si>
    <t>Verify TBT Boot to OS functionality using Thunderbolt 3 SSD</t>
  </si>
  <si>
    <t>CSS-IVE-72703</t>
  </si>
  <si>
    <t>Verify System entry to Sx states via command line</t>
  </si>
  <si>
    <t>CSS-IVE-76043</t>
  </si>
  <si>
    <t>Verify ACPI table for S0ix Support</t>
  </si>
  <si>
    <t>CSS-IVE-81127</t>
  </si>
  <si>
    <t>Verify system wakes from CMS / S0i3 state successfully via USB Keyboard</t>
  </si>
  <si>
    <t>CSS-IVE-86260</t>
  </si>
  <si>
    <t>Verify DP display &amp; USB Keyboard functionality over USB Type-C port during Pre and Post boot</t>
  </si>
  <si>
    <t>CSS-IVE-73619</t>
  </si>
  <si>
    <t>Verify On-Board Audio ADSP is Functional</t>
  </si>
  <si>
    <t>audio</t>
  </si>
  <si>
    <t>CSS-IVE-86215</t>
  </si>
  <si>
    <t>Verify system state post flashing IFWI on an eSPI enabled system</t>
  </si>
  <si>
    <t>System Firmware Builds and bringup</t>
  </si>
  <si>
    <t>CSS-IVE-80326</t>
  </si>
  <si>
    <t>Verify Post Codes for Connected Standby entry and exit</t>
  </si>
  <si>
    <t>CSS-IVE-92262</t>
  </si>
  <si>
    <t>Verify BIOS passes all PEP Constraints using WOS PEP BIOS Checker tool</t>
  </si>
  <si>
    <t>CSS-IVE-92268</t>
  </si>
  <si>
    <t>Validate system residency for SLP_S0 in CMS (AC and DC mode)</t>
  </si>
  <si>
    <t>CSS-IVE-118728</t>
  </si>
  <si>
    <t>Verify TBT Hot-Plug device functionality after CMS cycling</t>
  </si>
  <si>
    <t>CSS-IVE-92272</t>
  </si>
  <si>
    <t>Validate PEP constraints and Hardware low power residency is achieved using sleepstudy command</t>
  </si>
  <si>
    <t>CSS-IVE-94314</t>
  </si>
  <si>
    <t>Validate Type-C USB3.2 gen2x1 host mode functionality on hot insert and removal over Type-C port</t>
  </si>
  <si>
    <t>CSS-IVE-94319</t>
  </si>
  <si>
    <t>Verify RTD3 flow support for Type-C USB3.1 device</t>
  </si>
  <si>
    <t>CSS-IVE-99448</t>
  </si>
  <si>
    <t>Verify C-state low power audio residency on system entry and exit to low power state with audio playback</t>
  </si>
  <si>
    <t>CSS-IVE-99695</t>
  </si>
  <si>
    <t>Verify USB device functionality at EFI shell connected over Type-C port</t>
  </si>
  <si>
    <t>CSS-IVE-99961</t>
  </si>
  <si>
    <t>[TBT] Verify SUT wake from S3/S4 using TBT-Dock connected over TBT port</t>
  </si>
  <si>
    <t>CSS-IVE-99962</t>
  </si>
  <si>
    <t>[TBT] Verify SUT wake from S3/S4 using Type-C dock connected over TBT port</t>
  </si>
  <si>
    <t>CSS-IVE-99944</t>
  </si>
  <si>
    <t>Verify CNVi WLAN ON-OFF-ON functionality in OS</t>
  </si>
  <si>
    <t>CSS-IVE-99978</t>
  </si>
  <si>
    <t>Verify system enters Sleep (S3) using "ALT+F4"</t>
  </si>
  <si>
    <t>CSS-IVE-99982</t>
  </si>
  <si>
    <t>Verify system enters Sleep (S3) using  OS start Menu</t>
  </si>
  <si>
    <t>CSS-IVE-84736</t>
  </si>
  <si>
    <t>Verify USB 3.1 Gen1 (Type-C) Device functionality in Host Router before/after Sx Cycles</t>
  </si>
  <si>
    <t>CSS-IVE-84761</t>
  </si>
  <si>
    <t>Verify TBT device functionality before/after CMS cycling</t>
  </si>
  <si>
    <t>CSS-IVE-132965</t>
  </si>
  <si>
    <t>Verify system enters Sleep (S3) using OS start Menu or using "ALT+F4" in alternate validation cycle</t>
  </si>
  <si>
    <t>CSS-IVE-84623</t>
  </si>
  <si>
    <t>[TBT] Verify SUT wake from S3/S4 using USB Lan Adapter over TBT connector</t>
  </si>
  <si>
    <t>CSS-IVE-84628</t>
  </si>
  <si>
    <t>[TBT] Verify USB 2.0 Device functionality in Host Router before/after Sx cycles</t>
  </si>
  <si>
    <t>CSS-IVE-100027</t>
  </si>
  <si>
    <t>[TBT] Verify DP display functionality on hot-plug and after Sx states over TBT port</t>
  </si>
  <si>
    <t>CSS-IVE-97325</t>
  </si>
  <si>
    <t>Verify TouchPad option Enable/Disable in BIOS</t>
  </si>
  <si>
    <t>display</t>
  </si>
  <si>
    <t>CSS-IVE-101352</t>
  </si>
  <si>
    <t>Verify S0ix/CS LED Status</t>
  </si>
  <si>
    <t>CSS-IVE-101363</t>
  </si>
  <si>
    <t>Validate RTD3 for Touchpad</t>
  </si>
  <si>
    <t>CSS-IVE-101316</t>
  </si>
  <si>
    <t>Verify USB2 DbC Functionality</t>
  </si>
  <si>
    <t>Debug Interfaces and Traces</t>
  </si>
  <si>
    <t>debug</t>
  </si>
  <si>
    <t>CSS-IVE-101518</t>
  </si>
  <si>
    <t>Verify detection and enumeration of 3.5mm Jack Wired headphones/headset</t>
  </si>
  <si>
    <t>CSS-IVE-101555</t>
  </si>
  <si>
    <t>Verify CNVi Mode BIOS Options</t>
  </si>
  <si>
    <t>CSS-IVE-101576</t>
  </si>
  <si>
    <t>ME FW response and version check in EFI Shell</t>
  </si>
  <si>
    <t>CSS-IVE-101914</t>
  </si>
  <si>
    <t>Verify the SOL, USBr &amp; KVM values in Smbios type 130</t>
  </si>
  <si>
    <t>CSS-IVE-102067</t>
  </si>
  <si>
    <t>BIOS Hotkey combination (CTRL-ALT-F1) should display by the BIOS during boot process</t>
  </si>
  <si>
    <t>CSS-IVE-102154</t>
  </si>
  <si>
    <t>Verify DCI Enable BIOS policy/options</t>
  </si>
  <si>
    <t>CSS-IVE-102155</t>
  </si>
  <si>
    <t>Verify "Platform Debug Consent" BIOS option/policy</t>
  </si>
  <si>
    <t>CSS-IVE-102168</t>
  </si>
  <si>
    <t>Verify different power state changes on Modern standby enabled system</t>
  </si>
  <si>
    <t>CSS-IVE-102169</t>
  </si>
  <si>
    <t>Verify different power state changes on system post Sleep cycle</t>
  </si>
  <si>
    <t>CSS-IVE-102193</t>
  </si>
  <si>
    <t>Verify system stability on waking from idle state pre and post S3 cycle</t>
  </si>
  <si>
    <t>CSS-IVE-102299</t>
  </si>
  <si>
    <t>Verify HDCP 2.2 functionality over TBT port</t>
  </si>
  <si>
    <t>CSS-IVE-102300</t>
  </si>
  <si>
    <t>Verify HDCP 2.2 functionality over TBT port after Sx and warm reboot cycles</t>
  </si>
  <si>
    <t>CSS-IVE-102472</t>
  </si>
  <si>
    <t>Verify Booting over Wi-Fi using UEFI PXEv4 Boot</t>
  </si>
  <si>
    <t>CSS-IVE-102475</t>
  </si>
  <si>
    <t>Verify Bluetooth BLE Devices scan in BIOS</t>
  </si>
  <si>
    <t>CSS-IVE-102473</t>
  </si>
  <si>
    <t>Verify Booting over Wi-Fi using UEFI HTTPv4 Boot</t>
  </si>
  <si>
    <t>CSS-IVE-102612</t>
  </si>
  <si>
    <t>Validate Wi-Fi Network Connectivity by self and External ping</t>
  </si>
  <si>
    <t>CSS-IVE-105407</t>
  </si>
  <si>
    <t>Verify CNVi WLAN Enumeration in OS before / after Connected Standby (CMS) cycle</t>
  </si>
  <si>
    <t>CSS-IVE-105411</t>
  </si>
  <si>
    <t>Verify ISH Sensor Enumeration pre and post Connected Standby (CMS) cycle - Ambient Light Sensor (ALS)</t>
  </si>
  <si>
    <t>CSS-IVE-105412</t>
  </si>
  <si>
    <t>Verify ISH Sensor Enumeration pre and post Connected Standby (CMS) cycle - Gyro</t>
  </si>
  <si>
    <t>CSS-IVE-105413</t>
  </si>
  <si>
    <t>Verify ISH Sensor Enumeration pre post Connected Standby (CMS) cycle - Accelerometer/3D Accelerometer</t>
  </si>
  <si>
    <t>CSS-IVE-105421</t>
  </si>
  <si>
    <t>Verify WWAN enumeration pre and post Connected Standby (CMS) cycle</t>
  </si>
  <si>
    <t>CSS-IVE-105424</t>
  </si>
  <si>
    <t>Verify Touch panel Enumeration pre and post Connected Standby (CMS) cycle</t>
  </si>
  <si>
    <t>CSS-IVE-105425</t>
  </si>
  <si>
    <t>ISH Sensor Enumeration pre and post Connected Standby (CMS) cycle - Magnetometer</t>
  </si>
  <si>
    <t>CSS-IVE-105567</t>
  </si>
  <si>
    <t>Verify SMBUS Initialization/Enumeration</t>
  </si>
  <si>
    <t>CSS-IVE-105628</t>
  </si>
  <si>
    <t>Validate data transfer functionality between USB drives connected over Type-C port</t>
  </si>
  <si>
    <t>CSS-IVE-105632</t>
  </si>
  <si>
    <t>Verify TCSS xHCI controller support enable/disable functionality in BIOS</t>
  </si>
  <si>
    <t>CSS-IVE-105576</t>
  </si>
  <si>
    <t>Verify SUT does not boot in Dead battery condition</t>
  </si>
  <si>
    <t>power_management.battery</t>
  </si>
  <si>
    <t>CSS-IVE-63272</t>
  </si>
  <si>
    <t>Verify SUT wake from S3, S4 using PCIE LAN devices (WOL)</t>
  </si>
  <si>
    <t>CSS-IVE-113592</t>
  </si>
  <si>
    <t>Verify USB devices information are displayed in F7 boot menu, connected over Type-C port</t>
  </si>
  <si>
    <t>CSS-IVE-111675</t>
  </si>
  <si>
    <t>Verify SoC crash dump and crash logging</t>
  </si>
  <si>
    <t>CSS-IVE-113704</t>
  </si>
  <si>
    <t>Verify 3.5mm jack Wired headphones/headset detection on Pre and Post S3 cycle</t>
  </si>
  <si>
    <t>CSS-IVE-113849</t>
  </si>
  <si>
    <t>Verify 3.5mm jack Wired headphones/headset detection after abrupt G3</t>
  </si>
  <si>
    <t>CSS-IVE-113731</t>
  </si>
  <si>
    <t>Verify if AMT configuration menu is accessible in MEBx setup in DC mode</t>
  </si>
  <si>
    <t>CSS-IVE-114359</t>
  </si>
  <si>
    <t>Verify system completes S4 Resume Cycles using "ResumeOK.efi" tool</t>
  </si>
  <si>
    <t>CSS-IVE-114715</t>
  </si>
  <si>
    <t>Verify Booting over LAN using UEFI PXEv6 Network</t>
  </si>
  <si>
    <t>CSS-IVE-114716</t>
  </si>
  <si>
    <t>Verify Booting with UEFI HTTPv6 network support availability in BIOS</t>
  </si>
  <si>
    <t>CSS-IVE-114717</t>
  </si>
  <si>
    <t>Verify Booting over LAN using UEFI PXEv4 network</t>
  </si>
  <si>
    <t>CSS-IVE-114718</t>
  </si>
  <si>
    <t>Verify Booting with UEFI HTTPv4 network support availability in BIOS</t>
  </si>
  <si>
    <t>CSS-IVE-114801</t>
  </si>
  <si>
    <t>Validate Network functionality over USB3.0 Type-A port</t>
  </si>
  <si>
    <t>CSS-IVE-114802</t>
  </si>
  <si>
    <t>Validate Network functionality over USB Type-C port</t>
  </si>
  <si>
    <t>CSS-IVE-114973</t>
  </si>
  <si>
    <t>Verify PPIN feature support using Processor Utility tool</t>
  </si>
  <si>
    <t>CSS-IVE-114980</t>
  </si>
  <si>
    <t>Verify PPIN Feature when SUT is in EOM mode</t>
  </si>
  <si>
    <t>CSS-IVE-114982</t>
  </si>
  <si>
    <t>[FSP] Verify SX transition of the system with FSP VS build</t>
  </si>
  <si>
    <t>CSS-IVE-115018</t>
  </si>
  <si>
    <t>Verify Connected MoS entry/exit using power button/Timer option</t>
  </si>
  <si>
    <t>CSS-IVE-116722</t>
  </si>
  <si>
    <t>Verify independent BIOS setup option to Enable/Disable INT3400 Device and Processor thermal device participants</t>
  </si>
  <si>
    <t>CSS-IVE-116741</t>
  </si>
  <si>
    <t>Validate system residency for SLP_S0 in CMS post Sx</t>
  </si>
  <si>
    <t>CSS-IVE-117069</t>
  </si>
  <si>
    <t>Verify BIOS shall provide the support to publish the CNVi WIFI and BT UEFI variables with connectivity platform configurations</t>
  </si>
  <si>
    <t>CSS-IVE-117072</t>
  </si>
  <si>
    <t>Verify BIOS shall provide support to add new Switched Antenna Diversity Selection (SADS) field to BIOS configuration</t>
  </si>
  <si>
    <t>CSS-IVE-117073</t>
  </si>
  <si>
    <t>Verify BIOS shall provide support to add new Bluetooth SAR tables (BRDS) and GPC Method</t>
  </si>
  <si>
    <t>CSS-IVE-114258</t>
  </si>
  <si>
    <t>Verify Modem ASPM support</t>
  </si>
  <si>
    <t>CSS-IVE-117339</t>
  </si>
  <si>
    <t>Verify Bluetooth BLE supported HID device Functionality in OS</t>
  </si>
  <si>
    <t>CSS-IVE-117486</t>
  </si>
  <si>
    <t>Verify Power Consumption by Wi-Fi module using "Power Meter" tool</t>
  </si>
  <si>
    <t>CSS-IVE-117680</t>
  </si>
  <si>
    <t>Verify Wi-Fi and Bluetooth functionality after Sx(S3, S4, S5) and reboot cycles with RTD3 option enabled in BIOS</t>
  </si>
  <si>
    <t xml:space="preserve">HSD Fail: 16016471090 : [RPL-HX][PO][D&amp;T] CATERR &amp; P Code MCA 0x9 observed while giving "itp.resettarget" with USB2DBC A-A/A-C, USB3DBC A-A probe, BSSB 2-wire OR while pressing physical reset button from OS </t>
  </si>
  <si>
    <t>CSS-IVE-117850</t>
  </si>
  <si>
    <t>Verify RTD3 flow support for TBT SSD device</t>
  </si>
  <si>
    <t>CSS-IVE-117937</t>
  </si>
  <si>
    <t>Verify Xml Cli support for External Bios</t>
  </si>
  <si>
    <t>CSS-IVE-117969</t>
  </si>
  <si>
    <t>Verify CPU frequency throttles when core temperature exceeds passive trip point with DTS SMM enabled and DTT disabled</t>
  </si>
  <si>
    <t>CSS-IVE-118175</t>
  </si>
  <si>
    <t>Verify if BIOS populates SMBIOS table 130 with "vPro TBT dock  supported state</t>
  </si>
  <si>
    <t>CSS-IVE-118279</t>
  </si>
  <si>
    <t>Verify Booting over PCIe LAN using UEFI PXEv4 network</t>
  </si>
  <si>
    <t>CSS-IVE-118328</t>
  </si>
  <si>
    <t>Verify BIOS policy for WWAN support</t>
  </si>
  <si>
    <t>CSS-IVE-118409</t>
  </si>
  <si>
    <t>Verify Per Platform Antenna Gain support in BIOS</t>
  </si>
  <si>
    <t>CSS-IVE-118410</t>
  </si>
  <si>
    <t>Verify stability of Wi-Fi and BT functionality with PPAG (Per Platform Antenna Gain) option enabled in BIOS</t>
  </si>
  <si>
    <t>CSS-IVE-118413</t>
  </si>
  <si>
    <t>Verify External 32KHz clock support in BIOS for WLAN function with optimal power</t>
  </si>
  <si>
    <t>CSS-IVE-118414</t>
  </si>
  <si>
    <t>Verify stability of Wi-Fi and BT functionality with ECKV (External Clock Valid) option enabled in BIOS</t>
  </si>
  <si>
    <t>CSS-IVE-118683</t>
  </si>
  <si>
    <t>Verify BIOS settings remains intact with MAF mode booting after Warm and Cold Boot cycles</t>
  </si>
  <si>
    <t>CSS-IVE-118685</t>
  </si>
  <si>
    <t>Verify BIOS settings remains intact with MAF mode booting after Sx cycles</t>
  </si>
  <si>
    <t>CSS-IVE-118741</t>
  </si>
  <si>
    <t>Verify PD controller Firmware version in BIOS, OS and System Scope Tool</t>
  </si>
  <si>
    <t>CSS-IVE-118742</t>
  </si>
  <si>
    <t>Verify Debug log for no Heci Timeout</t>
  </si>
  <si>
    <t>CSS-IVE-118745</t>
  </si>
  <si>
    <t>Verify CSME change from MKHI agent to MCHI agent</t>
  </si>
  <si>
    <t>CSS-IVE-118687</t>
  </si>
  <si>
    <t>Verify BIOS settings remains intact with MAF mode booting after power interrupts (Reset / G3) cycles</t>
  </si>
  <si>
    <t>CSS-IVE-120328</t>
  </si>
  <si>
    <t>Verify system stability on performing Modern Standby cycle on freshly preloaded OS post flashing Release BIOS</t>
  </si>
  <si>
    <t>CSS-IVE-122123</t>
  </si>
  <si>
    <t>Verify USB4 storage functionality after S4,S5, warm and cold boot cycles</t>
  </si>
  <si>
    <t>CSS-IVE-122129</t>
  </si>
  <si>
    <t>Verify GPE event triggered in ACPI during ACPI wake alarm test in hibernate</t>
  </si>
  <si>
    <t>CSS-IVE-119128</t>
  </si>
  <si>
    <t>Validate the CPU ID information is captured in Debug logs</t>
  </si>
  <si>
    <t>CSS-IVE-130049</t>
  </si>
  <si>
    <t>Verify CPU enters C10 after removal of USB disk used as source for Music playback in Modern Standby</t>
  </si>
  <si>
    <t>CSS-IVE-130050</t>
  </si>
  <si>
    <t>Verify PC10 with TBT Dock Hotplug/unplug after S4</t>
  </si>
  <si>
    <t>CSS-IVE-132607</t>
  </si>
  <si>
    <t>Verify Bus0 Devices with function disabled in bios setup using PEP bios checker tool</t>
  </si>
  <si>
    <t>CSS-IVE-86989</t>
  </si>
  <si>
    <t>Verify TBT-External Graphics hot-plug functionality with Integrated graphics</t>
  </si>
  <si>
    <t>CSS-IVE-132907</t>
  </si>
  <si>
    <t>Validate GOP-VBT Merge tool functionality by comparing VBT dump file from EDK shell with modified VBT file</t>
  </si>
  <si>
    <t>CSS-IVE-133011</t>
  </si>
  <si>
    <t>Verify display plug/unplug using Type-C Dock when SUT in CMS</t>
  </si>
  <si>
    <t>CSS-IVE-122399</t>
  </si>
  <si>
    <t>[OCR] Verify BIOS should provide Boot options Support  for one Click recovery</t>
  </si>
  <si>
    <t>CSS-IVE-133063</t>
  </si>
  <si>
    <t>Verify  Type-C USB3.1 gen2 device enumeration over Type-C port  with Retimer Compliance mode Enable/Disable</t>
  </si>
  <si>
    <t>Verify Type-C USB3.1 gen2 device enumeration over Type-C port after resume from S4, S5 with Retimer Compliance mode Enable/Disable</t>
  </si>
  <si>
    <t>CSS-IVE-133069</t>
  </si>
  <si>
    <t>Verify all Type-C port functionality with debug settings disabled</t>
  </si>
  <si>
    <t>CSS-IVE-133080</t>
  </si>
  <si>
    <t>Verify TBT Device functionality with TCSS D3 Cold support enabled</t>
  </si>
  <si>
    <t>CSS-IVE-122095</t>
  </si>
  <si>
    <t>Verify USB4 storage functionality on cold plug</t>
  </si>
  <si>
    <t>CSS-IVE-133121</t>
  </si>
  <si>
    <t>Verify system stability on performing 5 cycles of Hybrid Sleep</t>
  </si>
  <si>
    <t>CSS-IVE-133219</t>
  </si>
  <si>
    <t>Validate USB4 Hub Device functionality on hot insert and removal</t>
  </si>
  <si>
    <t>CSS-IVE-133222</t>
  </si>
  <si>
    <t>Validate USB4 Hub Device functionality after S4, S5, warm and cold boot cycles</t>
  </si>
  <si>
    <t>CSS-IVE-133223</t>
  </si>
  <si>
    <t>Validate USB4 Hub Device functionality hot plug during S4, S5 cycles</t>
  </si>
  <si>
    <t>CSS-IVE-133225</t>
  </si>
  <si>
    <t>Validate USB4 Hub Device functionality on cold plug</t>
  </si>
  <si>
    <t>CSS-IVE-133227</t>
  </si>
  <si>
    <t>Validate USB4 Dock Device functionality on hot insert and removal</t>
  </si>
  <si>
    <t>CSS-IVE-133230</t>
  </si>
  <si>
    <t>Validate USB4 Dock Device functionality after S4,S5, warm and cold boot cycles</t>
  </si>
  <si>
    <t>CSS-IVE-133231</t>
  </si>
  <si>
    <t>Validate USB4 Dock Device functionality hot plug during S4, S5 cycles</t>
  </si>
  <si>
    <t>CSS-IVE-133233</t>
  </si>
  <si>
    <t>Validate USB4 Dock Device functionality on cold plug</t>
  </si>
  <si>
    <t>CSS-IVE-133293</t>
  </si>
  <si>
    <t>Verify Display Functionality over USB4 Dock Device when SUT is in BIOS, EFI and OS level</t>
  </si>
  <si>
    <t>CSS-IVE-133296</t>
  </si>
  <si>
    <t>Verify USB4 Storage connection swap during S4, S5 cycle</t>
  </si>
  <si>
    <t>CSS-IVE-133297</t>
  </si>
  <si>
    <t>Verify SUT wake from S3/S4 using USB device &amp; LAN connected behind USB4 Dock</t>
  </si>
  <si>
    <t>CSS-IVE-133299</t>
  </si>
  <si>
    <t>Verify Boot to OS functionality using USB4 Storage</t>
  </si>
  <si>
    <t>CSS-IVE-133123</t>
  </si>
  <si>
    <t>Verify PCH DFx Trace hub support</t>
  </si>
  <si>
    <t>CSS-IVE-133736</t>
  </si>
  <si>
    <t>Verify 40 Gbps Link speed for TBT3 device on hot plug</t>
  </si>
  <si>
    <t>CSS-IVE-135472</t>
  </si>
  <si>
    <t>Verify CNVi WLAN Enumeration in OS before / after warm reset cycle</t>
  </si>
  <si>
    <t>CSS-IVE-135589</t>
  </si>
  <si>
    <t>Verify 40 Gbps CIO Link speed for USB4 Storage</t>
  </si>
  <si>
    <t>CSS-IVE-135865</t>
  </si>
  <si>
    <t>Verify Touch Panel(I2C) functionality in Bios</t>
  </si>
  <si>
    <t>CSS-IVE-136305</t>
  </si>
  <si>
    <t>[OCR] Verify AMT triggered Windows Recovery Environment (WinRE) over wired LAN</t>
  </si>
  <si>
    <t>CSS-IVE-135851</t>
  </si>
  <si>
    <t>[OCR] Verify if BIOS provides option to enable/disable AMT UEFI Boot Options</t>
  </si>
  <si>
    <t>CSS-IVE-136301</t>
  </si>
  <si>
    <t>[OCR] Verify Windows Recovery working if OCR WinRE option is disabled in BIOS</t>
  </si>
  <si>
    <t>CSS-IVE-136306</t>
  </si>
  <si>
    <t>[OCR] Verify Windows Recovery (WinRE) Functionality from AMT Remote session with OCR option disabled in BIOS over wired LAN</t>
  </si>
  <si>
    <t>CSS-IVE-136309</t>
  </si>
  <si>
    <t>[OCR] Verify AMT triggered PBA Boot Flow over wired LAN</t>
  </si>
  <si>
    <t>CSS-IVE-136310</t>
  </si>
  <si>
    <t>[OCR] Verify AMT triggered HTTPS Boot Flow over wired LAN</t>
  </si>
  <si>
    <t>CSS-IVE-136313</t>
  </si>
  <si>
    <t>[OCR] Verify Windows Recovery Environment (WinRE) Boot  with Reset PC(Keep my files) Option over wired LAN</t>
  </si>
  <si>
    <t>CSS-IVE-136314</t>
  </si>
  <si>
    <t>[OCR] Verify Windows Recovery Environment (WinRE) Boot  with Reset PC(Remove everything ) Option over wired LAN</t>
  </si>
  <si>
    <t>CSS-IVE-136380</t>
  </si>
  <si>
    <t>[OCR] Verify OCR progress and state via AMT Event log for WinRE boot over wired LAN</t>
  </si>
  <si>
    <t>CSS-IVE-136381</t>
  </si>
  <si>
    <t>[OCR] Verify OCR progress and state via AMT Event log for PBA boot over wired LAN</t>
  </si>
  <si>
    <t>CSS-IVE-136382</t>
  </si>
  <si>
    <t>[OCR] Verify OCR progress and state via AMT Event log for HTTPS Boot over wired LAN</t>
  </si>
  <si>
    <t>CSS-IVE-138244</t>
  </si>
  <si>
    <t>Verify BIOS support for  [CNV] New ACPI table WPFC - Wi-Fi PHY Filter Configuration</t>
  </si>
  <si>
    <t>CSS-IVE-138245</t>
  </si>
  <si>
    <t>Verify BIOS support for ACPI table WRDS  and EWRD for Concurrency Dual Band (CDB)</t>
  </si>
  <si>
    <t>CSS-IVE-144440</t>
  </si>
  <si>
    <t>[OCR] Verify HTTPS Boot flow for One Click Recovery</t>
  </si>
  <si>
    <t>CSS-IVE-144432</t>
  </si>
  <si>
    <t>[OCR] Verify Windows Recovery Environment (WinRE) Boot flow for One Click Recovery</t>
  </si>
  <si>
    <t>CSS-IVE-144439</t>
  </si>
  <si>
    <t>[OCR] Verify PBA Boot flow for One Click Recovery</t>
  </si>
  <si>
    <t>CSS-IVE-144511</t>
  </si>
  <si>
    <t>[OCR] Verify System Recovery When OCR_HTTPS boot Flow is interrupted from AMT Remote session over wired LAN</t>
  </si>
  <si>
    <t>CSS-IVE-144510</t>
  </si>
  <si>
    <t>[OCR] Verify System Recovery When OCR_PBA boot Flow is interrupted from AMT Remote session over wired LAN</t>
  </si>
  <si>
    <t>CSS-IVE-135714</t>
  </si>
  <si>
    <t>Verify BIOS to update post codes on punit register</t>
  </si>
  <si>
    <t>CSS-IVE-144719</t>
  </si>
  <si>
    <t>Verify multiple global reset functionality cycles check in SUT with Debug BIOS</t>
  </si>
  <si>
    <t>CSS-IVE-144589</t>
  </si>
  <si>
    <t>[OCR] Verify One Click Recovery boot options when AC power is removed from SUT</t>
  </si>
  <si>
    <t>CSS-IVE-144642</t>
  </si>
  <si>
    <t>[OCR] Verify user consent flow is performed during OCR_WinRE boot in Admin control Mode (ACM) Mode</t>
  </si>
  <si>
    <t>CSS-IVE-144830</t>
  </si>
  <si>
    <t>[OCR] Verify OCR_Boot Capabilities Via WSMAN Browser</t>
  </si>
  <si>
    <t>CSS-IVE-144829</t>
  </si>
  <si>
    <t>[OCR] Verify Remote Power Command after performing OCR_WinRE Boot flow</t>
  </si>
  <si>
    <t>CSS-IVE-144827</t>
  </si>
  <si>
    <t>Verify Concurrent Type-C Display functionality on hot plug over Type-C port and Connector reversibility</t>
  </si>
  <si>
    <t>CSS-IVE-144828</t>
  </si>
  <si>
    <t>Verify Concurrent Type-C Display functionality on cold plug over Type-C port</t>
  </si>
  <si>
    <t>CSS-IVE-133656</t>
  </si>
  <si>
    <t>Verify USB4 Storage enumeration in  EFI shell and BIOS setup</t>
  </si>
  <si>
    <t>CSS-IVE-145124</t>
  </si>
  <si>
    <t>Verify Concurrent DP Display functionality on hot plug over Type-C port</t>
  </si>
  <si>
    <t>CSS-IVE-145127</t>
  </si>
  <si>
    <t>Verify Concurrent HDMI Display functionality on hot plug over Type-C port and Connector reversibility</t>
  </si>
  <si>
    <t>CSS-IVE-145130</t>
  </si>
  <si>
    <t>Verify Concurrent Type-C Display and DP Display functionality on hot plug over Type-C port and connector reversibility</t>
  </si>
  <si>
    <t>CSS-IVE-145133</t>
  </si>
  <si>
    <t>Verify Concurrent Type-C Display and HDMI Display functionality on hot plug over Type-C port and connector revresibility</t>
  </si>
  <si>
    <t>CSS-IVE-145139</t>
  </si>
  <si>
    <t>Verify Concurrent Type-C Display and Type-C Dock with DP Display functionality on hot plug over Type-C port and Connector reversibility</t>
  </si>
  <si>
    <t>CSS-IVE-145142</t>
  </si>
  <si>
    <t>Verify Concurrent Type-C Display and Type-C Dock with HDMI Display functionality on hot plug over Type-C port and Connector reversibility</t>
  </si>
  <si>
    <t>CSS-IVE-145149</t>
  </si>
  <si>
    <t>Verify Concurrent TBT3 Display and Type-C Dock with DP Display functionality on hot plug over Type-C port and Connector reversibility</t>
  </si>
  <si>
    <t>CSS-IVE-145152</t>
  </si>
  <si>
    <t>Verify Concurrent TBT3 Display and Type-C Dock with HDMI Display functionality on hot plug over Type-C port and connector reversibility</t>
  </si>
  <si>
    <t>CSS-IVE-145156</t>
  </si>
  <si>
    <t>Verify Concurrent USB3.1-Gen2-SSD and TBT3 Display functionality on hot plug over Type-C port and Connector reversibility</t>
  </si>
  <si>
    <t>CSS-IVE-145232</t>
  </si>
  <si>
    <t>Validate GOP-VBT Merge tool functionality with Release and Debug image</t>
  </si>
  <si>
    <t>CSS-IVE-133650</t>
  </si>
  <si>
    <t>Verify if  system support disable/enable of the Crossover Canyon capability</t>
  </si>
  <si>
    <t>CSS-IVE-145974</t>
  </si>
  <si>
    <t>Verify WiFi functionality in UEFI and KVM session establishment working same time for WiFi OCR support</t>
  </si>
  <si>
    <t>CSS-IVE-145982</t>
  </si>
  <si>
    <t>Verify HD Display Audio enumeration and functionality using Type-C to HDMI display by hot-plugging/unplugging display during and before/after S3/S4 cycles</t>
  </si>
  <si>
    <t>CSS-IVE-146961</t>
  </si>
  <si>
    <t>ISH Sensor Enumeration- Hall effect Sensor</t>
  </si>
  <si>
    <t>CSS-IVE-147000</t>
  </si>
  <si>
    <t>[Hybrid] Verify system stability post Connected Modern Standby when only Atom or BIG cores are  individually enabled</t>
  </si>
  <si>
    <t>CSS-IVE-147136</t>
  </si>
  <si>
    <t>[OCR] Verify AMT triggered Windows Recovery Environment (WinRE) over Wireless LAN</t>
  </si>
  <si>
    <t>CSS-IVE-147137</t>
  </si>
  <si>
    <t>[OCR] Verify Windows Recovery (WinRE) Functionality from AMT Remote session with OCR option disabled in BIOS over Wireless LAN</t>
  </si>
  <si>
    <t>CSS-IVE-147138</t>
  </si>
  <si>
    <t>[OCR] Verify AMT triggered PBA Boot Flow over Wireless LAN</t>
  </si>
  <si>
    <t>CSS-IVE-147139</t>
  </si>
  <si>
    <t>[OCR] Verify Windows Recovery Environment (WinRE) Boot  with Reset PC(Keep my files) Option over Wireless LAN</t>
  </si>
  <si>
    <t>CSS-IVE-147140</t>
  </si>
  <si>
    <t>[OCR] Verify Windows Recovery Environment (WinRE) Boot  with Reset PC(Remove everything ) Option over Wireless LAN</t>
  </si>
  <si>
    <t>CSS-IVE-147143</t>
  </si>
  <si>
    <t>[OCR] Verify OCR progress and state via AMT Event log for WinRE boot over Wireless LAN</t>
  </si>
  <si>
    <t>CSS-IVE-147144</t>
  </si>
  <si>
    <t>[OCR] Verify OCR progress and state via AMT Event log for PBA boot over Wireless LAN</t>
  </si>
  <si>
    <t>CSS-IVE-147178</t>
  </si>
  <si>
    <t>CSS-IVE-147179</t>
  </si>
  <si>
    <t>CSS-IVE-147180</t>
  </si>
  <si>
    <t>[OCR] Verify System Recovery When OCR_WinRE boot Flow is interrupted from AMT Remote session over Wireless LAN</t>
  </si>
  <si>
    <t>CSS-IVE-147182</t>
  </si>
  <si>
    <t>[OCR] Verify System Recovery When OCR_PBA boot Flow is interrupted from AMT Remote session over Wireless LAN</t>
  </si>
  <si>
    <t>CSS-IVE-147183</t>
  </si>
  <si>
    <t>CSS-IVE-147185</t>
  </si>
  <si>
    <t>CSS-IVE-147186</t>
  </si>
  <si>
    <t>CSS-IVE-70027</t>
  </si>
  <si>
    <t>Verify the BIOS first Boot time and Cold Boot time is inline with responsiveness metrics</t>
  </si>
  <si>
    <t>Performance and Responsiveness</t>
  </si>
  <si>
    <t>power_and_perf</t>
  </si>
  <si>
    <t>CSS-IVE-99732</t>
  </si>
  <si>
    <t>Verify System memory using Windows Memory Diagnostics tool (Basic)</t>
  </si>
  <si>
    <t>Memory Technologies and Topologies</t>
  </si>
  <si>
    <t>memory</t>
  </si>
  <si>
    <t>CSS-IVE-135380</t>
  </si>
  <si>
    <t>Verify System memory using Windows Memory Diagnostics tool (Standard)</t>
  </si>
  <si>
    <t>CSS-IVE-61859</t>
  </si>
  <si>
    <t>Verify Lid Switch open/close functionality at S3 state - test</t>
  </si>
  <si>
    <t>CSS-IVE-61860</t>
  </si>
  <si>
    <t>Verify Lid Switch Action can "Shut down" the system</t>
  </si>
  <si>
    <t>CSS-IVE-61861</t>
  </si>
  <si>
    <t>Verify Lid Switch Action can put system to S4 and Lid Switch Action can not wake system from S4</t>
  </si>
  <si>
    <t>CSS-IVE-61866</t>
  </si>
  <si>
    <t>Verify if the SUT shuts down when the Power Button is held for more than 10 seconds</t>
  </si>
  <si>
    <t>CSS-IVE-61869</t>
  </si>
  <si>
    <t>Verify the  functionality of Hardware buttons</t>
  </si>
  <si>
    <t>CSS-IVE-91440</t>
  </si>
  <si>
    <t>Verify Press power button can act as a wake source for S4 and S3 states</t>
  </si>
  <si>
    <t>CSS-IVE-79983</t>
  </si>
  <si>
    <t>Verify "Slide to shutdown" option does not come up on UI on resuming from CMS / S0i3</t>
  </si>
  <si>
    <t>CSS-IVE-73195</t>
  </si>
  <si>
    <t>Verify Type-C Connector reversibility - USB only devices</t>
  </si>
  <si>
    <t>CSS-IVE-76273</t>
  </si>
  <si>
    <t>Verify USB-Keyboards functionality connected on Type-C port in Pre-OS and Post OS environment</t>
  </si>
  <si>
    <t>CSS-IVE-99710</t>
  </si>
  <si>
    <t>Verify USB Type-C device Connector reversibility functionality when SUT is in Sx (S3,S4,S5)_x000D_
 state</t>
  </si>
  <si>
    <t>CSS-IVE-99711</t>
  </si>
  <si>
    <t>Verify Type-C Connector reversibility functionality for Display over Type-C port</t>
  </si>
  <si>
    <t>CSS-IVE-76111</t>
  </si>
  <si>
    <t>Verify Boot to OS from NVMe Storage</t>
  </si>
  <si>
    <t>Internal and External Storage</t>
  </si>
  <si>
    <t>storage</t>
  </si>
  <si>
    <t>CSS-IVE-76042</t>
  </si>
  <si>
    <t>Verify that battery gets charged only when  AC  is inserted and battery is present</t>
  </si>
  <si>
    <t>CSS-IVE-71567</t>
  </si>
  <si>
    <t>Verify that battery is charged and discharged at near critical battery level</t>
  </si>
  <si>
    <t>CSS-IVE-145301</t>
  </si>
  <si>
    <t>Verify System stability on Sleep on battery and resume on  AC  brick and vice versa</t>
  </si>
  <si>
    <t>CSS-IVE-71406</t>
  </si>
  <si>
    <t>Verify CPU fan is on during system boot</t>
  </si>
  <si>
    <t>CSS-IVE-72687</t>
  </si>
  <si>
    <t>Verify CPU Fan speed can be set/read through commands in EFI mode</t>
  </si>
  <si>
    <t>CSS-IVE-61838</t>
  </si>
  <si>
    <t>Verify S3 and S4 LED status</t>
  </si>
  <si>
    <t>CSS-IVE-145415</t>
  </si>
  <si>
    <t>Verify CPU turbo boost functionality  pre and post S4 , S5 , warm and cold reboot cycles</t>
  </si>
  <si>
    <t>CSS-IVE-118169</t>
  </si>
  <si>
    <t>Verify post code functionality across Sx cycles</t>
  </si>
  <si>
    <t>CSS-IVE-78895</t>
  </si>
  <si>
    <t>[FSP2.0]: Verify FSP_INFO_HEADER Information</t>
  </si>
  <si>
    <t>CSS-IVE-78896</t>
  </si>
  <si>
    <t>[FSP2.0]: Verify FSP_INFO_EXTENDED_HEADER Information.</t>
  </si>
  <si>
    <t>CSS-IVE-78899</t>
  </si>
  <si>
    <t>[FSP2.0]: Verify FSP Patch Table Information</t>
  </si>
  <si>
    <t>CSS-IVE-80420</t>
  </si>
  <si>
    <t>[FSP] Verify FSP Header File(.fd) and boot setting file(.bsf) loads correctly into BCT tool</t>
  </si>
  <si>
    <t>CSS-IVE-86540</t>
  </si>
  <si>
    <t>[FSP2.0]: Verify GUID of SMBIOS HOB"s (Memory, Processor and Cache)</t>
  </si>
  <si>
    <t>CSS-IVE-78905</t>
  </si>
  <si>
    <t>[FSP] Verify FSP BIOS Boot Flow</t>
  </si>
  <si>
    <t>CSS-IVE-118658</t>
  </si>
  <si>
    <t>[FSP] Verify FSP BIOS Dispatch mode Boot Flow</t>
  </si>
  <si>
    <t>CSS-IVE-122365</t>
  </si>
  <si>
    <t>[FSP2.1]: Verify FSP_SMBIOS_EFI_PEI_GRAPHICS_DEVICE_INFO_HOB table</t>
  </si>
  <si>
    <t>CSS-IVE-132857</t>
  </si>
  <si>
    <t>[FSP][GCC]: Validate Pre and Post OS display with different FSP Bios</t>
  </si>
  <si>
    <t>CSS-IVE-132856</t>
  </si>
  <si>
    <t>[FSP][GCC]: Verify FSP Patch Table Information</t>
  </si>
  <si>
    <t>CSS-IVE-132851</t>
  </si>
  <si>
    <t>[FSP][GCC]: Verify FSP image ID and Image Revision</t>
  </si>
  <si>
    <t>CSS-IVE-132862</t>
  </si>
  <si>
    <t>[FSP][GCC]: Verify GUID of SMBIOS HOB"s (Memory, Processor and Cache)</t>
  </si>
  <si>
    <t>CSS-IVE-132864</t>
  </si>
  <si>
    <t>[FSP][GCC]: Verify FSP BIOS Boot Flow</t>
  </si>
  <si>
    <t>CSS-IVE-132865</t>
  </si>
  <si>
    <t>[FSP][GCC] Verify FSP BIOS Dispatch/API mode Boot Flow</t>
  </si>
  <si>
    <t>CSS-IVE-132867</t>
  </si>
  <si>
    <t>[FSP2.0][GCC]: Verify "FSP Information" under BIOS</t>
  </si>
  <si>
    <t>CSS-IVE-132870</t>
  </si>
  <si>
    <t>[FSP] [GCC]Verify SX transition of the system with FSP GCC Release build</t>
  </si>
  <si>
    <t>CSS-IVE-132852</t>
  </si>
  <si>
    <t>[FSP][GCC]: Verify FSP_INFO_HEADER Information</t>
  </si>
  <si>
    <t>CSS-IVE-132853</t>
  </si>
  <si>
    <t>[FSP][GCC]: Verify FSP version on SUT</t>
  </si>
  <si>
    <t>CSS-IVE-132854</t>
  </si>
  <si>
    <t>[FSP][GCC]: Validate FSP TempRamInit initialization and TempRamExit API"s</t>
  </si>
  <si>
    <t>CSS-IVE-132855</t>
  </si>
  <si>
    <t>[FSP][GCC]: Verify FSP_INFO_EXTENDED_HEADER Information.</t>
  </si>
  <si>
    <t>CSS-IVE-132898</t>
  </si>
  <si>
    <t>[FSP2.1][GCC]: Verify FSP_SMBIOS_EFI_PEI_GRAPHICS_DEVICE_INFO_HOB table</t>
  </si>
  <si>
    <t>CSS-IVE-130040</t>
  </si>
  <si>
    <t>Verify BIOS expose option to enable/disable the SRIOV feature</t>
  </si>
  <si>
    <t>CSS-IVE-50447</t>
  </si>
  <si>
    <t>Exercising GMM/GNA Error check in BIOS and corresponding BDF values</t>
  </si>
  <si>
    <t>speech_and_cognition.speech_accelerators</t>
  </si>
  <si>
    <t>CSS-IVE-50448</t>
  </si>
  <si>
    <t>Check if GMM/GNA device is fused enabled and check for BIOS option to Enable/ Disable GMM/GNA</t>
  </si>
  <si>
    <t>CSS-IVE-50460</t>
  </si>
  <si>
    <t>Verify that the BIOS shall display the VBIOS/GOP version</t>
  </si>
  <si>
    <t>CSS-IVE-69482</t>
  </si>
  <si>
    <t>Verify PAVP BIOS option</t>
  </si>
  <si>
    <t>content_protection</t>
  </si>
  <si>
    <t>CSS-IVE-69500</t>
  </si>
  <si>
    <t>Verify HDMI &amp; DP hot-plug functionality, with default display connected</t>
  </si>
  <si>
    <t>CSS-IVE-69884</t>
  </si>
  <si>
    <t>Verify that platform supports for DP and Hot-plug of DP in dual display mode</t>
  </si>
  <si>
    <t>CSS-IVE-69915</t>
  </si>
  <si>
    <t>Verifying EDID (Extended Display Identification Data) support check for display resolution/refresh rate</t>
  </si>
  <si>
    <t>CSS-IVE-70915</t>
  </si>
  <si>
    <t>Check DMI is enabled by default in BIOS for Halo/ DT boards</t>
  </si>
  <si>
    <t>Flex I/O and Internal Buses</t>
  </si>
  <si>
    <t>CSS-IVE-70951</t>
  </si>
  <si>
    <t>Verify Power Management (PM) support for GT</t>
  </si>
  <si>
    <t>CSS-IVE-86896</t>
  </si>
  <si>
    <t>Verify FHD USB camera is functioning properly for capturing images &amp; video</t>
  </si>
  <si>
    <t>imaging</t>
  </si>
  <si>
    <t>CSS-IVE-98890</t>
  </si>
  <si>
    <t>Verify Display detection in EFI shell with 5K display panel</t>
  </si>
  <si>
    <t>CSS-IVE-99449</t>
  </si>
  <si>
    <t>Verification of resolution for 5K display panel in Pre-OS</t>
  </si>
  <si>
    <t>CSS-IVE-99733</t>
  </si>
  <si>
    <t>Verify Video play back on Extended Mode with eDP+HDMI Display panels connected</t>
  </si>
  <si>
    <t>CSS-IVE-99734</t>
  </si>
  <si>
    <t>Verify Video play back on Extended Mode with eDP+DP Display panels connected</t>
  </si>
  <si>
    <t>CSS-IVE-100089</t>
  </si>
  <si>
    <t>Verify 8K Display Panel enumeration in Device Manager</t>
  </si>
  <si>
    <t>CSS-IVE-100090</t>
  </si>
  <si>
    <t>Verification of resolution for 8K display panel in Pre-OS</t>
  </si>
  <si>
    <t>CSS-IVE-100091</t>
  </si>
  <si>
    <t>Verification of resolution for 8K display panel in Post OS</t>
  </si>
  <si>
    <t>CSS-IVE-101310</t>
  </si>
  <si>
    <t>Verify VP9 video playback functionality in OS</t>
  </si>
  <si>
    <t>audio.cavs</t>
  </si>
  <si>
    <t>CSS-IVE-101920</t>
  </si>
  <si>
    <t>Verify Display detection in Pre OS with 4K display panel</t>
  </si>
  <si>
    <t>CSS-IVE-101924</t>
  </si>
  <si>
    <t>Verify Audio Play back on HDMI 4K Display Panel</t>
  </si>
  <si>
    <t>CSS-IVE-114636</t>
  </si>
  <si>
    <t>Verify Audio Play back on USB-Headset post S3 cycle</t>
  </si>
  <si>
    <t>CSS-IVE-102052</t>
  </si>
  <si>
    <t>Verify Audio Play back on 8K DP Monitor</t>
  </si>
  <si>
    <t>CSS-IVE-119047</t>
  </si>
  <si>
    <t>Verify DashG card basic functionality on x16 PEG slot post S4 cycles</t>
  </si>
  <si>
    <t>CSS-IVE-119049</t>
  </si>
  <si>
    <t>Verify DashG card basic functionality on x16 PEG slot post CMS cycles</t>
  </si>
  <si>
    <t>CSS-IVE-130051</t>
  </si>
  <si>
    <t>Verify Pkg C-state with SUT idle and display ON</t>
  </si>
  <si>
    <t>CSS-IVE-145169</t>
  </si>
  <si>
    <t>Verify PlayReady3 functionality pre and post S4 and S5 cycles</t>
  </si>
  <si>
    <t>CSS-IVE-145170</t>
  </si>
  <si>
    <t>Verify Display detection and resolution check in post OS with 5K display panel</t>
  </si>
  <si>
    <t>CSS-IVE-145176</t>
  </si>
  <si>
    <t>Verify Display detection and resolution check in post OS with 4K display panel</t>
  </si>
  <si>
    <t>CSS-IVE-145249</t>
  </si>
  <si>
    <t>Verify display in eDP panel in BIOS Setup ,EFI and OS</t>
  </si>
  <si>
    <t>CSS-IVE-145251</t>
  </si>
  <si>
    <t>Verify display in HDMI/mini HDMI panel in BIOS Setup, EFI and OS</t>
  </si>
  <si>
    <t>CSS-IVE-145260</t>
  </si>
  <si>
    <t>Verify video playback in OS  pre and post S4, S5, warm and cold reboot cycles</t>
  </si>
  <si>
    <t>CSS-IVE-62681</t>
  </si>
  <si>
    <t>Verify correct CPU details displayed in BIOS Setup page</t>
  </si>
  <si>
    <t>CSS-IVE-44411</t>
  </si>
  <si>
    <t>Validate presence of computer systems/components information as per Intel standards</t>
  </si>
  <si>
    <t>CSS-IVE-44402</t>
  </si>
  <si>
    <t>Verify that Platform firmware Information is correctly displayed in BIOS setup</t>
  </si>
  <si>
    <t>CSS-IVE-62160</t>
  </si>
  <si>
    <t>Verification of SPI Initialization</t>
  </si>
  <si>
    <t>io_general.spi</t>
  </si>
  <si>
    <t>CSS-IVE-65810</t>
  </si>
  <si>
    <t>Verify disable/enable ISH Controller option in BIOS</t>
  </si>
  <si>
    <t>CSS-IVE-71061</t>
  </si>
  <si>
    <t>Verify Trace hub initialization in debug BIOS</t>
  </si>
  <si>
    <t>CSS-IVE-71765</t>
  </si>
  <si>
    <t>Verify AMT BIOS option check under PCH-FW configuration</t>
  </si>
  <si>
    <t>CSS-IVE-72612</t>
  </si>
  <si>
    <t>Verify BIOS options listed under AMT configuration in PCH-FW menu</t>
  </si>
  <si>
    <t>CSS-IVE-80015</t>
  </si>
  <si>
    <t>ACPI entry for GPIO controller</t>
  </si>
  <si>
    <t>io_general.lsio_gpio</t>
  </si>
  <si>
    <t>CSS-IVE-86457</t>
  </si>
  <si>
    <t>Verify Audio device is enumerated as PCI device</t>
  </si>
  <si>
    <t>io_pcie</t>
  </si>
  <si>
    <t>CSS-IVE-76033</t>
  </si>
  <si>
    <t>Verify SUT wake from Sx states (S3, S4, S5) using LAN</t>
  </si>
  <si>
    <t>CSS-IVE-85706</t>
  </si>
  <si>
    <t>Verify BIOS should provide UEFI support for onboard LAN</t>
  </si>
  <si>
    <t>CSS-IVE-84935</t>
  </si>
  <si>
    <t>Verify "PCH Trace Hub Enable Mode" BIOS policy/option for NPK Support</t>
  </si>
  <si>
    <t>CSS-IVE-93983</t>
  </si>
  <si>
    <t>Verify BIOS detects Gen 1 compatible PCI Express LAN Cards</t>
  </si>
  <si>
    <t>CSS-IVE-93996</t>
  </si>
  <si>
    <t>Verify that BIOS detects and initializes SSDs/SATA drives attached to PCIe x4 port</t>
  </si>
  <si>
    <t>CSS-IVE-97232</t>
  </si>
  <si>
    <t>Verify SATA controller type device detection in EFI shell</t>
  </si>
  <si>
    <t>CSS-IVE-99217</t>
  </si>
  <si>
    <t>Verify "CPU Trace Hub Enable Mode" BIOS policy/option for NPK Support</t>
  </si>
  <si>
    <t>CSS-IVE-99334</t>
  </si>
  <si>
    <t>Verify "CPU/SOC TH Mem Buffer Size 0" BIOS option/policy for NPK Support</t>
  </si>
  <si>
    <t>CSS-IVE-99696</t>
  </si>
  <si>
    <t>Verify SUT support Debug Trace log capture via TAP over JTAG (Route traces to PTI)</t>
  </si>
  <si>
    <t>CSS-IVE-99698</t>
  </si>
  <si>
    <t>Verify SUT support Debug Trace log capture - Route traces to BSSB in low power mode</t>
  </si>
  <si>
    <t>CSS-IVE-101599</t>
  </si>
  <si>
    <t>Verify GPIO driver and device entry in device Manager</t>
  </si>
  <si>
    <t>CSS-IVE-101628</t>
  </si>
  <si>
    <t>Verify BIOS display an option to set Detect timeout value on Root port links</t>
  </si>
  <si>
    <t>CSS-IVE-105473</t>
  </si>
  <si>
    <t>Verify NPK memory configuration is done only after IMR allocations (DID ack)</t>
  </si>
  <si>
    <t>CSS-IVE-105494</t>
  </si>
  <si>
    <t>Verify Bios shall support enable/disable PCIE ports options</t>
  </si>
  <si>
    <t>CSS-IVE-105545</t>
  </si>
  <si>
    <t>Verify device initialization and respective register configuration don"t have failures in Self test tool</t>
  </si>
  <si>
    <t>CSS-IVE-105563</t>
  </si>
  <si>
    <t>Verify BIOS set up option to enable/Disable GPIO Pad</t>
  </si>
  <si>
    <t>CSS-IVE-105635</t>
  </si>
  <si>
    <t>Verify setting Detect timeout value in BIOS and ensure no halt message in debug log with device connected</t>
  </si>
  <si>
    <t>CSS-IVE-105636</t>
  </si>
  <si>
    <t>Verify setting Detect timeout value in BIOS and respective system halt with device not connected</t>
  </si>
  <si>
    <t>CSS-IVE-113691</t>
  </si>
  <si>
    <t>Verify VMD Register Lock bit when VMD device is not in use</t>
  </si>
  <si>
    <t>CSS-IVE-114775</t>
  </si>
  <si>
    <t>Check Dekel FW Version from BIOS</t>
  </si>
  <si>
    <t>CSS-IVE-114937</t>
  </si>
  <si>
    <t>Check bios Provide an option to set the SA Root Port Preset values</t>
  </si>
  <si>
    <t>CSS-IVE-115645</t>
  </si>
  <si>
    <t>Verify VMD enable/disable bit in OS with respect to option set in BIOS</t>
  </si>
  <si>
    <t>CSS-IVE-115677</t>
  </si>
  <si>
    <t>Verify Bios support for I2C RTD3</t>
  </si>
  <si>
    <t>power_management.power_mgmt_cntrl</t>
  </si>
  <si>
    <t>CSS-IVE-115722</t>
  </si>
  <si>
    <t>Verify Bios support for I3C and UART RTD3</t>
  </si>
  <si>
    <t>CSS-IVE-115727</t>
  </si>
  <si>
    <t>Verify Bios support for SPI RTD3</t>
  </si>
  <si>
    <t>CSS-IVE-115843</t>
  </si>
  <si>
    <t>Verify GPIO initialization and respective values don"t have failures in GPIO configuration tool</t>
  </si>
  <si>
    <t>CSS-IVE-116761</t>
  </si>
  <si>
    <t>Verify Bios have option to Enable/Disable On-board Components</t>
  </si>
  <si>
    <t>CSS-IVE-117935</t>
  </si>
  <si>
    <t>Verify HID driver event filter driver from BIOS menu for non-mobile platforms</t>
  </si>
  <si>
    <t>CSS-IVE-118000</t>
  </si>
  <si>
    <t>Verify Bios locks TCO_BASE by writing to specific TCO_BASE_LOCK</t>
  </si>
  <si>
    <t>CSS-IVE-118313</t>
  </si>
  <si>
    <t>Verify VTd support for PCIe ports</t>
  </si>
  <si>
    <t>CSS-IVE-120109</t>
  </si>
  <si>
    <t>Verify VMD RTD3 Cold support with SATA connected</t>
  </si>
  <si>
    <t>CSS-IVE-120324</t>
  </si>
  <si>
    <t>Verify Secured registers are locked for PCIE Gen4</t>
  </si>
  <si>
    <t>CSS-IVE-129935</t>
  </si>
  <si>
    <t>Verify Booting over LAN using UEFI PXEv4 Network with TBT + native security (VT-d) + IOMMU enabled in BIOS</t>
  </si>
  <si>
    <t>CSS-IVE-132602</t>
  </si>
  <si>
    <t>Verify BIOS updates the PCIe register for PEG60</t>
  </si>
  <si>
    <t>CSS-IVE-132826</t>
  </si>
  <si>
    <t>Verify System notification tones in OS</t>
  </si>
  <si>
    <t>CSS-IVE-132875</t>
  </si>
  <si>
    <t>Verify Audio playback over DP monitor</t>
  </si>
  <si>
    <t>CSS-IVE-132948</t>
  </si>
  <si>
    <t>Verify Audio DRM playback over 3.5mm-Jack-Headsets (via HD-A)</t>
  </si>
  <si>
    <t>CSS-IVE-132968</t>
  </si>
  <si>
    <t>Validate digital audio functionality over Type-C port post S0i3 cycle</t>
  </si>
  <si>
    <t>CSS-IVE-133059</t>
  </si>
  <si>
    <t>Verify Two NVMe-SSD"s detection in Bios when connected to M.2 Gen4 slots from CPU &amp; PCH.</t>
  </si>
  <si>
    <t>CSS-IVE-133060</t>
  </si>
  <si>
    <t>Verify SX cycles with NVMe SSD"s connected to M.2 Gen4 slots from CPU &amp; PCH.</t>
  </si>
  <si>
    <t>CSS-IVE-133550</t>
  </si>
  <si>
    <t>Verify NVMe-SSD"s detection in Bios &amp; O.S when connected to x4 slots &amp; M.2 slots from CPU &amp; PCH.</t>
  </si>
  <si>
    <t>CSS-IVE-133702</t>
  </si>
  <si>
    <t>Verify VMD RTD3Cold support with add-on-card on x4 slot connected with NVMe.</t>
  </si>
  <si>
    <t>CSS-IVE-135401</t>
  </si>
  <si>
    <t>Verify that BIOS shall provide verb tables for HDA Config</t>
  </si>
  <si>
    <t>CSS-IVE-135709</t>
  </si>
  <si>
    <t>Verify PS_ON Residency with TypeC device connected to dTBT USBC port</t>
  </si>
  <si>
    <t>io_usb</t>
  </si>
  <si>
    <t>CSS-IVE-144600</t>
  </si>
  <si>
    <t>Verify CPU attached storage with OPAL supported NVME SSD in OPAL menu Through VMD</t>
  </si>
  <si>
    <t>CSS-IVE-145686</t>
  </si>
  <si>
    <t>Verify BIOS provide DDR-RFIM feature enable/disable status via MCHBAR</t>
  </si>
  <si>
    <t>CSS-IVE-145663</t>
  </si>
  <si>
    <t>Verify DMIC basic functionality test over High Definition Audio (HDA) Codec</t>
  </si>
  <si>
    <t>CSS-IVE-145667</t>
  </si>
  <si>
    <t>Verify DMIC basic functionality test over High Definition Audio (HDA) Codec, pre and post CMS cycles</t>
  </si>
  <si>
    <t>CSS-IVE-145692</t>
  </si>
  <si>
    <t>Verify Remapped NVMe-SSD"s detection in Bios &amp; O.S when connected to  x4 slots &amp; M.2 slots from CPU &amp; PCH.</t>
  </si>
  <si>
    <t>CSS-IVE-145049</t>
  </si>
  <si>
    <t>Verify WWAN functionality  pre and post S4 , S5 , warm and cold reboot cycles</t>
  </si>
  <si>
    <t>CSS-IVE-145253</t>
  </si>
  <si>
    <t>Verify DP/mini DP panel display in BIOS Setup, EFI and OS</t>
  </si>
  <si>
    <t>CSS-IVE-145028</t>
  </si>
  <si>
    <t>Verify CNVi Bluetooth Enumeration in OS before and after warm and cold  reset</t>
  </si>
  <si>
    <t>CSS-IVE-145036</t>
  </si>
  <si>
    <t>Verify CNVi WLAN Enumeration in OS pre and post S4 , S5 , warm and cold reboot cycles</t>
  </si>
  <si>
    <t>CSS-IVE-145188</t>
  </si>
  <si>
    <t>Verify Audio Play back on USB-Headset pre and post S4 and S5 cycle</t>
  </si>
  <si>
    <t>CSS-IVE-145228</t>
  </si>
  <si>
    <t>Verify 3.5mm jack Wired headphones/headset detection on Pre and Post S4, S5, warm and reboot cycles</t>
  </si>
  <si>
    <t>CSS-IVE-145257</t>
  </si>
  <si>
    <t>Verify Audio recording and Playback over 3.5mm-Jack-Headsets (via HD-A) pre and post S4, S5, warm and cold reboot cycles</t>
  </si>
  <si>
    <t>CSS-IVE-145258</t>
  </si>
  <si>
    <t>Verify HD Display Audio (Intel Display Audio) enumeration pre and post S4, S5, warm and cold reboot cycles</t>
  </si>
  <si>
    <t>CSS-IVE-145261</t>
  </si>
  <si>
    <t>Verify volume Up &amp; Down buttons function test in OS pre and post S4, S5, warm and cold reboot cycles</t>
  </si>
  <si>
    <t>CSS-IVE-145262</t>
  </si>
  <si>
    <t>Validate system attains Graphics turbo frequency when threshold loads are applied on graphics cores  pre and post S4, S5, warm and cold reboot cycles</t>
  </si>
  <si>
    <t>CSS-IVE-145394</t>
  </si>
  <si>
    <t>Verify Intel HD Audio functionality over 3.5mm Jack Speakers  pre and post S4, S5, warm and cold reboot cycles</t>
  </si>
  <si>
    <t>CSS-IVE-64401</t>
  </si>
  <si>
    <t>Verify basic boot check with different IFWI (Release, Performance and Debug)</t>
  </si>
  <si>
    <t>CSS-IVE-64111</t>
  </si>
  <si>
    <t>Validate hot-plug USB keyboard, mouse over USB Type-A port when SUT is in BIOS, EFI and OS level</t>
  </si>
  <si>
    <t>CSS-IVE-65453</t>
  </si>
  <si>
    <t>Verify that Debug Messages are sent over on Serial port with Debug BIOS</t>
  </si>
  <si>
    <t>CSS-IVE-65454</t>
  </si>
  <si>
    <t>Verify that Debug Messages are not sent over in Serial port with Release BIOS</t>
  </si>
  <si>
    <t>CSS-IVE-65455</t>
  </si>
  <si>
    <t>Verify OS debug support using Windbg debugging via USB3.0 debug port</t>
  </si>
  <si>
    <t>CSS-IVE-65456</t>
  </si>
  <si>
    <t>Verify OS debug support using Windbg via native serial UART</t>
  </si>
  <si>
    <t>CSS-IVE-101572</t>
  </si>
  <si>
    <t>Verify Debug log for no asserts messages</t>
  </si>
  <si>
    <t>CSS-IVE-113962</t>
  </si>
  <si>
    <t>Verify WLAN and Bluetooth functionality in OS when AirPlane (Flight) Mode switch in On/OFF state</t>
  </si>
  <si>
    <t>CSS-IVE-113973</t>
  </si>
  <si>
    <t>Verify UEFI and OS should exchange of Bluetooth profile information</t>
  </si>
  <si>
    <t>CSS-IVE-113980</t>
  </si>
  <si>
    <t>Verify Booting over LAN using UEFI PXEv6 Boot with TPM enabled in BIOS</t>
  </si>
  <si>
    <t>CSS-IVE-113981</t>
  </si>
  <si>
    <t>Verify Booting with UEFI HTTPv6 network support availability with TPM enabled in BIOS</t>
  </si>
  <si>
    <t>CSS-IVE-113982</t>
  </si>
  <si>
    <t>Verify Booting over LAN using UEFI PXEv4 Boot with TPM enabled in BIOS</t>
  </si>
  <si>
    <t>CSS-IVE-113983</t>
  </si>
  <si>
    <t>Verify Booting with UEFI HTTPv4 network support availability with TPM enabled in BIOS</t>
  </si>
  <si>
    <t>CSS-IVE-65578</t>
  </si>
  <si>
    <t>Capability of charging and discharging in OS</t>
  </si>
  <si>
    <t>CSS-IVE-63683</t>
  </si>
  <si>
    <t>Verify C10 package state support</t>
  </si>
  <si>
    <t>CSS-IVE-80347</t>
  </si>
  <si>
    <t>BIOS shall hide the Intel MEI #2(HECI 2) prior to OS boot.</t>
  </si>
  <si>
    <t>CSS-IVE-75940</t>
  </si>
  <si>
    <t>Verify that MEBx shall display an option to set the IP address and port number of the Intel  AMT provisioning server</t>
  </si>
  <si>
    <t>CSS-IVE-73219</t>
  </si>
  <si>
    <t>Verify if MEBx password change is accepted (for password meeting specific criteria) and is successfully accepted on subsequent entries to MEBx</t>
  </si>
  <si>
    <t>CSS-IVE-73224</t>
  </si>
  <si>
    <t>Verify power control options available for ME</t>
  </si>
  <si>
    <t>CSS-IVE-73227</t>
  </si>
  <si>
    <t>Verify "Domain Name" and HostName" could be set successfully in MEBx setting</t>
  </si>
  <si>
    <t>CSS-IVE-73229</t>
  </si>
  <si>
    <t>Verify user can set values for IPV4 Address and Subnet Mask Address</t>
  </si>
  <si>
    <t>CSS-IVE-73230</t>
  </si>
  <si>
    <t>Verify if user can Save MEBx settings and exit MEBx successfully</t>
  </si>
  <si>
    <t>CSS-IVE-73231</t>
  </si>
  <si>
    <t>Verify AMT connectivity Provision/Unprovision with static IP using WebUI</t>
  </si>
  <si>
    <t>CSS-IVE-73232</t>
  </si>
  <si>
    <t>Verify if AMT configuration menu is accessible in MEBx setup</t>
  </si>
  <si>
    <t>CSS-IVE-73233</t>
  </si>
  <si>
    <t>Very Intel AMT feature enabled/disabled option in BIOS</t>
  </si>
  <si>
    <t>CSS-IVE-73234</t>
  </si>
  <si>
    <t>Verify availability of Storage Redirection/ KVM under AMT and relevant options applicable for these features</t>
  </si>
  <si>
    <t>CSS-IVE-73236</t>
  </si>
  <si>
    <t>Verify KVM can be enabled/disabled in MEBx</t>
  </si>
  <si>
    <t>CSS-IVE-73239</t>
  </si>
  <si>
    <t>Verify options - IPV4, UUID and Power Control are available in WebUI with WLAN</t>
  </si>
  <si>
    <t>CSS-IVE-73240</t>
  </si>
  <si>
    <t>Verify AMT WEBUI is accessible after Sx cycles</t>
  </si>
  <si>
    <t>CSS-IVE-73241</t>
  </si>
  <si>
    <t>Verify the MEBX configure using Host-based Provisioning</t>
  </si>
  <si>
    <t>CSS-IVE-73249</t>
  </si>
  <si>
    <t>Verify BIOS shall display ME,BIOS,KSC version in Bios setup page</t>
  </si>
  <si>
    <t>CSS-IVE-73250</t>
  </si>
  <si>
    <t>Verify IFR Update option is removed from PCH-FW Configuration page in BIOS setup</t>
  </si>
  <si>
    <t>CSS-IVE-73251</t>
  </si>
  <si>
    <t>Verify if BIOS populates SMBIOS table 130 according to desired capabilities</t>
  </si>
  <si>
    <t>CSS-IVE-73255</t>
  </si>
  <si>
    <t>Verify removal of MDES usage from MEBx</t>
  </si>
  <si>
    <t>CSS-IVE-73220</t>
  </si>
  <si>
    <t>Verify "Manageability Feature Selection" is "Enabled" by default in MEBx setup</t>
  </si>
  <si>
    <t>CSS-IVE-144421</t>
  </si>
  <si>
    <t>Verify KVM session can be established When SUT is in MEBX Menu and BIOS Menu</t>
  </si>
  <si>
    <t>CSS-IVE-75931</t>
  </si>
  <si>
    <t>Verify booting support through USB 3.2 Gen2 (SS+ mass storage) connected over USB Type-C port</t>
  </si>
  <si>
    <t>CSS-IVE-75934</t>
  </si>
  <si>
    <t>Verify SUT should be able to boot from USB2.0 Pendrive over Type-C port</t>
  </si>
  <si>
    <t>CSS-IVE-75935</t>
  </si>
  <si>
    <t>Verify SUT should be able to boot from USB 3.0 disk over Type-C port</t>
  </si>
  <si>
    <t>CSS-IVE-75945</t>
  </si>
  <si>
    <t>Verify that system boots to EDK shell</t>
  </si>
  <si>
    <t>CSS-IVE-75954</t>
  </si>
  <si>
    <t>Verify that SUT boots to OS without battery and with only   AC  power source</t>
  </si>
  <si>
    <t>CSS-IVE-75959</t>
  </si>
  <si>
    <t>Virtual/Real Lid Switch functionality</t>
  </si>
  <si>
    <t>CSS-IVE-75967</t>
  </si>
  <si>
    <t>Verify MEBX UI is accessible during SUT boot with ME Corporate SKU</t>
  </si>
  <si>
    <t>CSS-IVE-76151</t>
  </si>
  <si>
    <t>Verify Touch function test using Touch Panel post S4 cycle</t>
  </si>
  <si>
    <t>CSS-IVE-76152</t>
  </si>
  <si>
    <t>Verify Touch function test using Touch Panel post S5 cycle</t>
  </si>
  <si>
    <t>CSS-IVE-76153</t>
  </si>
  <si>
    <t>Verify Touch function test using TouchPad post S3 cycle</t>
  </si>
  <si>
    <t>CSS-IVE-76197</t>
  </si>
  <si>
    <t>DPTF devices enumeration pre and post S3 cycle</t>
  </si>
  <si>
    <t>CSS-IVE-76216</t>
  </si>
  <si>
    <t>Verify CPU turbo boost functionality post S3 cycle</t>
  </si>
  <si>
    <t>CSS-IVE-76250</t>
  </si>
  <si>
    <t>Verify CPU "C-state C7 "support</t>
  </si>
  <si>
    <t>CSS-IVE-76257</t>
  </si>
  <si>
    <t>Verify Audio recording and Playback over 3.5mm-Jack-Headset (via HD-A), pre and post S3 cycles</t>
  </si>
  <si>
    <t>CSS-IVE-76301</t>
  </si>
  <si>
    <t>Verify HD Display Audio enumeration post S3 cycle</t>
  </si>
  <si>
    <t>CSS-IVE-76608</t>
  </si>
  <si>
    <t>Verify charging during pre and post S3 cycle</t>
  </si>
  <si>
    <t>CSS-IVE-77147</t>
  </si>
  <si>
    <t>Verify system wakes from S3 using Keyboard as Wake Source</t>
  </si>
  <si>
    <t>CSS-IVE-77149</t>
  </si>
  <si>
    <t>Verify system wakes from sleep using Lid Action as Wake Source</t>
  </si>
  <si>
    <t>CSS-IVE-77180</t>
  </si>
  <si>
    <t>ISH Sensor Enumeration post S4 cycle - Accelerometer/3D Accelerometer</t>
  </si>
  <si>
    <t>CSS-IVE-77202</t>
  </si>
  <si>
    <t>ISH Sensor Enumeration Pre and Post Sx - Ambient light (ALS)</t>
  </si>
  <si>
    <t>CSS-IVE-77203</t>
  </si>
  <si>
    <t>Verify ISH Sensor Enumeration post S3 cycle - Ambient light Sensor (ALS)</t>
  </si>
  <si>
    <t>CSS-IVE-77314</t>
  </si>
  <si>
    <t>Verify Intel HD Audio functionality over 3.5mm Jack Speakers post S3/S0i3 cycle</t>
  </si>
  <si>
    <t>CSS-IVE-76592</t>
  </si>
  <si>
    <t>Verify video playback in OS post S3/S0i3 cycle</t>
  </si>
  <si>
    <t>CSS-IVE-76597</t>
  </si>
  <si>
    <t>Verify display audio functionality on HDMI speakers</t>
  </si>
  <si>
    <t>CSS-IVE-76603</t>
  </si>
  <si>
    <t>[TBT] Verify Thunderbolt Enumeration in device manager</t>
  </si>
  <si>
    <t>CSS-IVE-77133</t>
  </si>
  <si>
    <t>[TBT] Verify Thunderbolt -TBT device Data transfer functionality</t>
  </si>
  <si>
    <t>CSS-IVE-76596</t>
  </si>
  <si>
    <t>Verify Basic Video recording and AV-sync functionality validation</t>
  </si>
  <si>
    <t>CSS-IVE-77487</t>
  </si>
  <si>
    <t>ISH FW response and version check in OS</t>
  </si>
  <si>
    <t>CSS-IVE-71234</t>
  </si>
  <si>
    <t>Verify System Login using Finger print Sensor (FPS)</t>
  </si>
  <si>
    <t>CSS-IVE-63691</t>
  </si>
  <si>
    <t>Validate system achieves more than 80% S0i3(CMS) residency</t>
  </si>
  <si>
    <t>CSS-IVE-78670</t>
  </si>
  <si>
    <t>Verification of hot keys (F2 &amp; F7) functionality check while BOOT</t>
  </si>
  <si>
    <t>CSS-IVE-78725</t>
  </si>
  <si>
    <t>Verify ucode firmware load/version check pre and post S3 cycle</t>
  </si>
  <si>
    <t>CSS-IVE-80017</t>
  </si>
  <si>
    <t>Verify Analog Microphone test connected to 3.5 mm Port post S3 cycle</t>
  </si>
  <si>
    <t>CSS-IVE-80745</t>
  </si>
  <si>
    <t>Verify Gyrometer Sensor Enumeration Through ISH</t>
  </si>
  <si>
    <t>CSS-IVE-63287</t>
  </si>
  <si>
    <t>Validate POST Code Progress for IA during Booting on 7 seg Display.</t>
  </si>
  <si>
    <t>CSS-IVE-89429</t>
  </si>
  <si>
    <t>Verify WWAN enumeration pre and post S3 cycle</t>
  </si>
  <si>
    <t>CSS-IVE-90903</t>
  </si>
  <si>
    <t>Verify enumeration of TouchPad in device manager pre and post S3 cycle</t>
  </si>
  <si>
    <t>CSS-IVE-90906</t>
  </si>
  <si>
    <t>Verify enumeration of Touch Panel and TouchPad in device manager</t>
  </si>
  <si>
    <t>CSS-IVE-90931</t>
  </si>
  <si>
    <t>DPTF devices enumeration pre and post S0i3(Modern Standby) cycle</t>
  </si>
  <si>
    <t>CSS-IVE-90942</t>
  </si>
  <si>
    <t>Verify Audio recording and Playback over 3.5mm-Jack-Headset (via HD-A) pre and post S0i3(Modern Standby) cycle</t>
  </si>
  <si>
    <t>CSS-IVE-90957</t>
  </si>
  <si>
    <t>Verify charging during pre and post S0i3(Modern Standby) cycle</t>
  </si>
  <si>
    <t>CSS-IVE-90959</t>
  </si>
  <si>
    <t>Verify Charging/discharging events in OS pre and post S0i3(Modern Standby) cycle</t>
  </si>
  <si>
    <t>CSS-IVE-90975</t>
  </si>
  <si>
    <t>Verify Intel HD Audio functionality over 3.5mm Jack Speakers pre and post S0i3(Modern Standby) cycle</t>
  </si>
  <si>
    <t>CSS-IVE-90977</t>
  </si>
  <si>
    <t>Verify Volume Up &amp; Down buttons function test pre and post CMS/S0i3 cycle</t>
  </si>
  <si>
    <t>CSS-IVE-90980</t>
  </si>
  <si>
    <t>Verify ucode firmware loads pre and post S0i3 (Modern Standby) cycle</t>
  </si>
  <si>
    <t>CSS-IVE-94692</t>
  </si>
  <si>
    <t>Verify "Reset Button" will warm reboot the system</t>
  </si>
  <si>
    <t>CSS-IVE-95311</t>
  </si>
  <si>
    <t>Verify CNVi enumeration in BIOS and EFI Shell with respect to CNVi option enabled/disabled in BIOS</t>
  </si>
  <si>
    <t>CSS-IVE-95319</t>
  </si>
  <si>
    <t>Verify Coexistence Support of CNVi Wi-Fi and Bluetooth functionality in OS after S3, S4, S5, Warm and cold reboot cycles</t>
  </si>
  <si>
    <t>CSS-IVE-95489</t>
  </si>
  <si>
    <t>Verify CNVi WLAN Enumeration in OS before/after S3 cycle</t>
  </si>
  <si>
    <t>CSS-IVE-95494</t>
  </si>
  <si>
    <t>Verify CNVi Bluetooth Enumeration in OS before/after S3 cycle</t>
  </si>
  <si>
    <t>CSS-IVE-105845</t>
  </si>
  <si>
    <t>Validate Type-C USB3.1 gen1 Host Mode functionality on hot insert and removal over Type-C port</t>
  </si>
  <si>
    <t>CSS-IVE-135393</t>
  </si>
  <si>
    <t>Verify No device yellow bangs post S0i3 cycle with all device connected as per config planned ( Golden, delta, 5, 4, 3 STAR )</t>
  </si>
  <si>
    <t>CSS-IVE-145252</t>
  </si>
  <si>
    <t>Verify IDTT (DPTF) devices enumeration in device manager pre and post S4,S5, warm and cold reboot cycles</t>
  </si>
  <si>
    <t>power_management.thermal_sensor</t>
  </si>
  <si>
    <t>CSS-IVE-145039</t>
  </si>
  <si>
    <t>Verify PCIe SD Card data transfer  pre and post S4 , S5 , warm and cold reboot cycles</t>
  </si>
  <si>
    <t>CSS-IVE-145291</t>
  </si>
  <si>
    <t>Verify charging during pre and post S4, S5, warm and cold reboot cycles</t>
  </si>
  <si>
    <t>CSS-IVE-145269</t>
  </si>
  <si>
    <t>Verify multiple global reset functionality cycles check in SUT</t>
  </si>
  <si>
    <t>CSS-IVE-145203</t>
  </si>
  <si>
    <t>ISH Sensor Enumeration - Magnetometer  pre and post S4 , S5 , warm and cold reboot cycles</t>
  </si>
  <si>
    <t>CSS-IVE-145204</t>
  </si>
  <si>
    <t>Verify ISH Sensor Enumeration - Accelerometer/3D Accelerometer pre and post S4 , S5 , warm and cold reboot cycles</t>
  </si>
  <si>
    <t>CSS-IVE-145205</t>
  </si>
  <si>
    <t>Verify ISH Sensor Enumeration - Gyrometer pre and post S4 , S5 , warm and cold reboot cycles</t>
  </si>
  <si>
    <t>CSS-IVE-145206</t>
  </si>
  <si>
    <t>Verify ISH Sensor Enumeration - Ambient light Sensor (ALS)  pre and post S4 , S5 , warm and cold reboot cycles</t>
  </si>
  <si>
    <t>CSS-IVE-145211</t>
  </si>
  <si>
    <t>Verify enumeration of TouchPad in device manager pre and post S4 , S5 , warm and cold reboot cycles</t>
  </si>
  <si>
    <t>CSS-IVE-134021</t>
  </si>
  <si>
    <t>Verify AMT WEBUI is accessible during sx cycles over Wired LAN with ME idle timeout set .</t>
  </si>
  <si>
    <t>CSS-IVE-130362</t>
  </si>
  <si>
    <t>Verify ISH sensor module enumeration in OS</t>
  </si>
  <si>
    <t>CSS-IVE-131413</t>
  </si>
  <si>
    <t>Verify enumeration of TouchPad in device manager pre and post Connected Standby (CMS) cycle</t>
  </si>
  <si>
    <t>CSS-IVE-131415</t>
  </si>
  <si>
    <t>CSS-IVE-131479</t>
  </si>
  <si>
    <t>CSS-IVE-131893</t>
  </si>
  <si>
    <t>S0/M0 transition during CS state</t>
  </si>
  <si>
    <t>CSS-IVE-131920</t>
  </si>
  <si>
    <t>Verify KVM session can be established</t>
  </si>
  <si>
    <t>CSS-IVE-131921</t>
  </si>
  <si>
    <t>Verify Storage-Redirection Session over Wired LAN</t>
  </si>
  <si>
    <t>CSS-IVE-131922</t>
  </si>
  <si>
    <t>Verify user is prompted for a new password and can"t use a non-strong password</t>
  </si>
  <si>
    <t>CSS-IVE-131925</t>
  </si>
  <si>
    <t>Verify if user is able to change ME Password</t>
  </si>
  <si>
    <t>CSS-IVE-131927</t>
  </si>
  <si>
    <t>Verify Local FW Updates option is available in MEBx /BIOS Setup</t>
  </si>
  <si>
    <t>CSS-IVE-131930</t>
  </si>
  <si>
    <t>Verify if user can edit Network Name in MEBx Settings</t>
  </si>
  <si>
    <t>CSS-IVE-131934</t>
  </si>
  <si>
    <t>CSS-IVE-131935</t>
  </si>
  <si>
    <t>Verify AMT connectivity with static IP using WebUI</t>
  </si>
  <si>
    <t>CSS-IVE-131938</t>
  </si>
  <si>
    <t>CSS-IVE-131939</t>
  </si>
  <si>
    <t>Verify Storage Redirection can be successfully enabled and disabled</t>
  </si>
  <si>
    <t>CSS-IVE-131944</t>
  </si>
  <si>
    <t>Verify AMT WEBUI is accessible after sx cycles</t>
  </si>
  <si>
    <t>CSS-IVE-131946</t>
  </si>
  <si>
    <t>Verify if SUT reboots after user enters incorrect MEBx password for 3 consecutive tries</t>
  </si>
  <si>
    <t>CSS-IVE-131949</t>
  </si>
  <si>
    <t>Verify SUT could be connected remotely to a server using WebUI</t>
  </si>
  <si>
    <t>CSS-IVE-131959</t>
  </si>
  <si>
    <t>S0/M0 transition during Hbernate(S4) state</t>
  </si>
  <si>
    <t>CSS-IVE-131961</t>
  </si>
  <si>
    <t>S0/M0 transition during sleep(S3) state</t>
  </si>
  <si>
    <t>CSS-IVE-131962</t>
  </si>
  <si>
    <t>Verify ME(M0) status pre and post cold and warm reset cycle</t>
  </si>
  <si>
    <t>CSS-IVE-131964</t>
  </si>
  <si>
    <t>S0/M0 transition during Hybrid sleep state</t>
  </si>
  <si>
    <t>CSS-IVE-131967</t>
  </si>
  <si>
    <t>Verify the AMT connectivity with WIFI using WEBUI</t>
  </si>
  <si>
    <t>CSS-IVE-132296</t>
  </si>
  <si>
    <t>ISH Sensor Enumeration - Ambientlight (ALS)</t>
  </si>
  <si>
    <t>CSS-IVE-132365</t>
  </si>
  <si>
    <t>Verify Touch function test using TouchPad</t>
  </si>
  <si>
    <t>CSS-IVE-132452</t>
  </si>
  <si>
    <t>Verify WWAN functionality</t>
  </si>
  <si>
    <t>CSS-IVE-132592</t>
  </si>
  <si>
    <t>Verify CSE/TXE/SEC/CSME enumeration pre and post Sx cycle</t>
  </si>
  <si>
    <t>CSS-IVE-144509</t>
  </si>
  <si>
    <t>[OCR] Verify System Recovery When OCR_WinRE boot Flow is interrupted from AMT Remote session over wired LAN</t>
  </si>
  <si>
    <t>CSS-IVE-145659</t>
  </si>
  <si>
    <t>Verify that BIOS displays MEBx options with Intel AMT enabled IFWI</t>
  </si>
  <si>
    <t>CSS-IVE-102476</t>
  </si>
  <si>
    <t>Verify Wi-Fi connectivity across warm and cold reboot cycles in pre-OS environment</t>
  </si>
  <si>
    <t>connectivity.wifi</t>
  </si>
  <si>
    <t>Verify System boot to OS without any hang post cold reset(G3)/warm reset , when Active  cores set to '1' in BIOS</t>
  </si>
  <si>
    <t>Verify ISH(Integrated sensor hub) enumeration for BOM1 configuration pre and post CMS</t>
  </si>
  <si>
    <t>Verify ISH(Integrated sensor hub) enumeration for BOM1 configuration pre and post S3 cycle</t>
  </si>
  <si>
    <t>Verify ISH(Integrated sensor hub) enumeration for BOM1 configuration pre and post S4, S5, Warm Reset, Cold Reset, G3 State</t>
  </si>
  <si>
    <t>Verify ISH(Integrated sensor hub) enumeration for BOM1 configuration pre and post pseudo G3</t>
  </si>
  <si>
    <t>Verify S0I3.2 entry in D0/D3 flow with SATA Device Connected</t>
  </si>
  <si>
    <t>Verify ISH(Integrated sensor hub) enumeration for BOM1 configuration in DC mode</t>
  </si>
  <si>
    <t>CSS-IVE-132185</t>
  </si>
  <si>
    <t>Verify BIOS exposes the Setup option "Acoustic Context Awareness (ACA)" and HD Audio functionality works fine in OS</t>
  </si>
  <si>
    <t>CSS-IVE-146007</t>
  </si>
  <si>
    <t>Verify if BIOS provides option to enable or disable Remote Platform Erase RPE</t>
  </si>
  <si>
    <t>Platform Protection and SysFW Security</t>
  </si>
  <si>
    <t>Verify Display Functionality over USB4 Dock Device when SUT is in BIOS, EFI and OS level as Primary Display</t>
  </si>
  <si>
    <t>Verify USB keyboard functionality connected to USB4 Port/Devices on Cold-plug in PreOS &amp; Post OS</t>
  </si>
  <si>
    <t>CSS-IVE-131892</t>
  </si>
  <si>
    <t>Verify if MEBX option is displayed in the BIOS page with ME Corporate SKU</t>
  </si>
  <si>
    <t>Verify SMBIOS type 133 provides WWAN product information</t>
  </si>
  <si>
    <t>cellular_modem</t>
  </si>
  <si>
    <t>Verify the RTD3 support for USB device connected to PEG port</t>
  </si>
  <si>
    <t>Verify D0 support with USB device connected to PEG port when RTD3 Cold disabled.</t>
  </si>
  <si>
    <t>Verify UCSI command - Obtain Platform USB-C capabilities</t>
  </si>
  <si>
    <t>Verify UCSI command - Get connector status details</t>
  </si>
  <si>
    <t>Verify UCSI command - Get connector capability</t>
  </si>
  <si>
    <t>Verify System boot to OS without any hang post cold reset(G3)/warm reset , when Active processor cores set to '2' in BIOS</t>
  </si>
  <si>
    <t>accelerator</t>
  </si>
  <si>
    <t>Verify System boot to OS without any hang post cold reset(G3)/warm reset , when Active processor cores set to '5' in BIOS</t>
  </si>
  <si>
    <t>Verify System boot to OS without any hang post cold reset(G3)/warm reset , when Active processor cores set to '3' in BIOS</t>
  </si>
  <si>
    <t>Verify System boot to OS without any hang post cold reset(G3)/warm reset , when Active processor cores set to '4' in BIOS</t>
  </si>
  <si>
    <t>Verify System boot to OS without any hang post cold reset(G3)/warm reset , when Active processor cores set to '6' in BIOS</t>
  </si>
  <si>
    <t>Verify System boot to OS without any hang post cold reset(G3)/warm reset , when Active processor cores set to '7' in BIOS</t>
  </si>
  <si>
    <t>Verify System boot to OS without any hang after Sx cycle, when Active  cores set to '1' in BIOS</t>
  </si>
  <si>
    <t>Verify System boot to OS without any hang after Sx cycle, when Active  cores set to '2' in BIOS</t>
  </si>
  <si>
    <t>Verify System boot to OS without any hang after Sx cycle, when Active  cores set to '3' in BIOS</t>
  </si>
  <si>
    <t>Verify System boot to OS without any hang after Sx cycle, when Active  cores set to '4' in BIOS</t>
  </si>
  <si>
    <t>Verify System boot to OS without any hang after Sx cycle, when Active  cores set to '5' in BIOS</t>
  </si>
  <si>
    <t>Verify System boot to OS without any hang after Sx cycle, when Active  cores set to '6' in BIOS</t>
  </si>
  <si>
    <t>Verify System boot to OS without any hang after Sx cycle, when Active  cores set to '7' in BIOS</t>
  </si>
  <si>
    <t>Verify System boot to OS without any hang post cold reset(G3)/warm reset , when Active atom cores set to '1' in BIOS</t>
  </si>
  <si>
    <t>Verify USB4 Storage connection swap during S3 cycle</t>
  </si>
  <si>
    <t>Validate USB4 Dock Device functionality hot plug during S3 cycles</t>
  </si>
  <si>
    <t>Validate USB4 Dock Device functionality after S3 Cycle</t>
  </si>
  <si>
    <t>Validate USB4 Hub Device functionality hot plug during S3 cycles</t>
  </si>
  <si>
    <t>Validate USB4 Hub Device functionality after S3 cycles</t>
  </si>
  <si>
    <t>Verify USB4 storage functionality after S3 cycles</t>
  </si>
  <si>
    <t>Verify System boot to OS without any hang post cold reset(G3)/warm reset , when Active atom cores set to '2' in BIOS</t>
  </si>
  <si>
    <t>Verify System boot to OS without any hang post cold reset(G3)/warm reset , when Active atom cores set to '3' in BIOS</t>
  </si>
  <si>
    <t>Verify System boot to OS without any hang post cold reset(G3)/warm reset , when Active atom cores set to '4' in BIOS</t>
  </si>
  <si>
    <t>Verify Row Hammer PRT Bios Knob's Default status.</t>
  </si>
  <si>
    <t>CSS-IVE-66098</t>
  </si>
  <si>
    <t>Verify TBT Storage device enumeration with VMD settings enabled</t>
  </si>
  <si>
    <t>Verify Board ID with MRC training in Debug log</t>
  </si>
  <si>
    <t>Verify TBT/USB4 devices enumeration and and Functionality with SW CM mode enabled</t>
  </si>
  <si>
    <t>Verify System boot to OS without any hang post cold reset(G3)/warm reset , when Active atom cores set to '5' in BIOS</t>
  </si>
  <si>
    <t>Verify System boot to OS without any hang post cold reset(G3)/warm reset , when Active atom cores set to '6 in BIOS</t>
  </si>
  <si>
    <t>Verify System boot to OS without any hang post cold reset(G3)/warm reset , when Active atom cores set to '7' in BIOS</t>
  </si>
  <si>
    <t>Verify inability of activating network access from USB provisioning flow</t>
  </si>
  <si>
    <t>CSS-IVE-77378</t>
  </si>
  <si>
    <t>Verify RTC Date and Time at BIOS and OS level in DC mod</t>
  </si>
  <si>
    <t>Verify Debug logs for MRC options with MRC BIOS options disabled in BIOS</t>
  </si>
  <si>
    <t>HSD Fail:16018211127:[RPL-Hx][BIOS][DDR5]:Observing SUT Hang at post code 0054 with MRC BIOS options.</t>
  </si>
  <si>
    <t>CSS-IVE-136407</t>
  </si>
  <si>
    <t>Verify system Boot successfully without any delay with  20 MB BIOS</t>
  </si>
  <si>
    <t>[Negative]Verify "Reduced Platform Debug Consent" BIOS option/policy</t>
  </si>
  <si>
    <t>Verify VMD controller does not go to RTD3 cold with ACPI RTD3 cold support for Storage is Disabled in BIOS</t>
  </si>
  <si>
    <t>Verify PCIe SD card does not go to RTD3 cold when ACPI RTD3 Cold is disabled in bios</t>
  </si>
  <si>
    <t>CSS-IVE-62162</t>
  </si>
  <si>
    <t>[Negative]Verify Trace Hub Initialization when PCH and SOC trace hub disabled</t>
  </si>
  <si>
    <t>Verify VMD should not be Disabled by Default in Bios</t>
  </si>
  <si>
    <t>Verify MRC training is not repeated with Fast boot enabled.</t>
  </si>
  <si>
    <t>Verify "PCH and CPU Trace Hub Enable Mode" BIOS policy/option for NPK Support  when option is disabled</t>
  </si>
  <si>
    <t>Verify RTD3 per SATA port should not enter with SATA ports disabled.</t>
  </si>
  <si>
    <t>[Negative]Verify NPK memory configuration is done only after IMR allocations (DID ack) when Platform debug consent  disabled</t>
  </si>
  <si>
    <t>Verify PPIN Feature BIOS option in Release BIOS</t>
  </si>
  <si>
    <t>Verify if RPE feature is not available on Consumer SKU</t>
  </si>
  <si>
    <t>Verify if MEBX screen does not display MEBx version on Integrated MEBx</t>
  </si>
  <si>
    <t>Verify if MEBx page is not displayed when AMT configuration is disabled in BIOS page</t>
  </si>
  <si>
    <t>Verify if system can not be connected to the host when network is not activated</t>
  </si>
  <si>
    <t>Verify boot flow with SAGV Enable/Disable default option with Below 125W config</t>
  </si>
  <si>
    <t>CSS-IVE-118819</t>
  </si>
  <si>
    <t>[TBT] Verify SUT wake from S3 using Type-C dock connected over TBT port with a USB keyboard or mouse</t>
  </si>
  <si>
    <t>CSS-IVE-118938</t>
  </si>
  <si>
    <t>Verify ME State option in Bios</t>
  </si>
  <si>
    <t>CSS-IVE-119140</t>
  </si>
  <si>
    <t>Verify BIOS handover the platform control to OS</t>
  </si>
  <si>
    <t>CSS-IVE-113768</t>
  </si>
  <si>
    <t>Verify Type-C multi port functionality - PR Swap, USB3.2 and TBT-Display</t>
  </si>
  <si>
    <t>CSS-IVE-118749</t>
  </si>
  <si>
    <t>Verify ME un-configuration using Bios option</t>
  </si>
  <si>
    <t>CSS-IVE-118065</t>
  </si>
  <si>
    <t>Verify DP-In Cold-plug functionality with External Graphics</t>
  </si>
  <si>
    <t>CSS-IVE-120105</t>
  </si>
  <si>
    <t>Verify GPE event triggered in ACPI during ACPI wake alarm test in sleep state</t>
  </si>
  <si>
    <t>CSS-IVE-120325</t>
  </si>
  <si>
    <t>Verify system stability on performing Sleep cycle on freshly preloaded OS post flashing Release BIOS</t>
  </si>
  <si>
    <t>CSS-IVE-119045</t>
  </si>
  <si>
    <t>Verify DashG card basic functionality with SRIOV enabled on x16 PEG slot connected in SUT</t>
  </si>
  <si>
    <t>CSS-IVE-70972</t>
  </si>
  <si>
    <t>Verify Platform PL1 and PL2 Bios options</t>
  </si>
  <si>
    <t>CSS-IVE-85721</t>
  </si>
  <si>
    <t>Verify BT data transfer functionality using discrete BT module connected to System</t>
  </si>
  <si>
    <t>CSS-IVE-99735</t>
  </si>
  <si>
    <t>Verify Discrete BT ON-OFF-ON functionality in OS</t>
  </si>
  <si>
    <t>CSS-IVE-101553</t>
  </si>
  <si>
    <t>Verify Discrete BT Functionality with CNVi option Enabled in BIOS</t>
  </si>
  <si>
    <t>CSS-IVE-115310</t>
  </si>
  <si>
    <t>Verify discrete WLAN ON-OFF-ON functionality in OS</t>
  </si>
  <si>
    <t>CSS-IVE-118686</t>
  </si>
  <si>
    <t>Verify BIOS settings remains intact with G3 mode booting after Sx cycles</t>
  </si>
  <si>
    <t>CSS-IVE-145632</t>
  </si>
  <si>
    <t>Verify MEBx Menu should not Present in BIOS on Consumer SKU IFWI</t>
  </si>
  <si>
    <t>CSS-IVE-145414</t>
  </si>
  <si>
    <t>Verify system entry and exit to Deep S4 and Deep S5 modes with system in AC mode</t>
  </si>
  <si>
    <t>CSS-IVE-86900</t>
  </si>
  <si>
    <t>Verify Audio play back on Speakers/headset with enabling Soundwire option in BIOS</t>
  </si>
  <si>
    <t>CSS-IVE-99977</t>
  </si>
  <si>
    <t>Verify Audio play back and recording on 3.5mm-Jack-Headset (via Soundwire)</t>
  </si>
  <si>
    <t>CSS-IVE-118790</t>
  </si>
  <si>
    <t>Verify Gen4 HG card basic functionality on x16 PEG slot post S3 cycles</t>
  </si>
  <si>
    <t>CSS-IVE-118930</t>
  </si>
  <si>
    <t>Verify Gen4 HG card basic functionality on x4 PCIe Gen4 slot post S3 cycles with HDMI display connected in SUT</t>
  </si>
  <si>
    <t>CSS-IVE-119016</t>
  </si>
  <si>
    <t>Verify Gen4 HG card basic functionality on x4 PCIe Gen4 slot post S3 cycles with DP display connected in SUT</t>
  </si>
  <si>
    <t>CSS-IVE-119043</t>
  </si>
  <si>
    <t>Validate DashG enumerated as PCI Device at EFI</t>
  </si>
  <si>
    <t>Verify DashG card basic functionality on x16 PEG slot with HDMI display connected in SUT</t>
  </si>
  <si>
    <t>CSS-IVE-119046</t>
  </si>
  <si>
    <t>Verify DashG card basic functionality on x16 PEG slot post S3 cycles</t>
  </si>
  <si>
    <t>CSS-IVE-119048</t>
  </si>
  <si>
    <t>Verify DashG card basic functionality on x16 PEG slot post S5 cycles</t>
  </si>
  <si>
    <t>CSS-IVE-119077</t>
  </si>
  <si>
    <t>Verify Gen1 to Gen4 speed check with PCIe Gen4 device connected over PCIe Gen4 supported X16 PEG slot</t>
  </si>
  <si>
    <t>CSS-IVE-129934</t>
  </si>
  <si>
    <t>Verify BEEP sound during system startup with Soundwire interface</t>
  </si>
  <si>
    <t>CSS-IVE-144539</t>
  </si>
  <si>
    <t>Verify that the PCH SATA Controller is set and operating in RAID Mode with NVMe SSD Through VMD</t>
  </si>
  <si>
    <t>CSS-IVE-145488</t>
  </si>
  <si>
    <t>Verify DMIC basic functionality test with Soundwire Codec</t>
  </si>
  <si>
    <t>CSS-IVE-145052</t>
  </si>
  <si>
    <t>Verify Discrete Bluetooth device function test in OS pre and post S4 , S5 , warm and cold reboot cycles</t>
  </si>
  <si>
    <t>CSS-IVE-145051</t>
  </si>
  <si>
    <t>Verify Discrete Wi-Fi enumeration test in device manager pre and post S4 , S5 , warm and cold reboot cycles</t>
  </si>
  <si>
    <t>CSS-IVE-145033</t>
  </si>
  <si>
    <t>Verify CNVd Bluetooth functionality in OS pre and post S4, S5, warm and cold reboot cycles</t>
  </si>
  <si>
    <t>CSS-IVE-145030</t>
  </si>
  <si>
    <t>Verify CNVd Bluetooth Enumeration in OS before and after warm and cold reset</t>
  </si>
  <si>
    <t>CSS-IVE-75958</t>
  </si>
  <si>
    <t>Verify system stability post Sx  and Deep S4 cycling with RTD3 option enabled in BIOS</t>
  </si>
  <si>
    <t>CSS-IVE-76156</t>
  </si>
  <si>
    <t>Verify Discrete Wi-Fi enumeration post S3 cycle</t>
  </si>
  <si>
    <t>CSS-IVE-76247</t>
  </si>
  <si>
    <t>Verify Discrete Bluetooth device function test on OS post S3 cycle</t>
  </si>
  <si>
    <t>Verify BIOS shall not send DID message with DIMMS_MISSING status when DIMMs connected</t>
  </si>
  <si>
    <t>Verify ISH(Integrated sensor hub) enumeration for BOM2 configuration pre and post S3 cycle</t>
  </si>
  <si>
    <t>Verify ISH(Integrated sensor hub) enumeration for BOM2 configuration pre and post S4, S5, Warm Reset, Cold Reset, G3 State</t>
  </si>
  <si>
    <t>Verify ISH(Integrated sensor hub) enumeration for BOM2 configuration pre and post deep S4 and deep S5 state</t>
  </si>
  <si>
    <t>CSS-IVE-145212</t>
  </si>
  <si>
    <t>Verify PCIE Resizable BAR support with DashG graphics card on X16 PEG slot</t>
  </si>
  <si>
    <t>Verify discrete graphics (DGfx) functionality with/without PCIE Resizable BAR support with DashG graphics card on X16 PEG slot</t>
  </si>
  <si>
    <t>Verify USB OFFLOAD (UAOL) is Disabled by default and Audio should work even USB OFFLOAD is disabled.</t>
  </si>
  <si>
    <t>Verify if FW Update option is not enumerated on Consumer SKU with ME disabled</t>
  </si>
  <si>
    <t xml:space="preserve"> </t>
  </si>
  <si>
    <t>HSD Fail: 16018227132 : [RPL-Hx][BIOS][DDR5]:TBT SSD is not enumerating in BIOS page after flashing Debug BIOS.</t>
  </si>
  <si>
    <t>CSS-IVE-144641</t>
  </si>
  <si>
    <t>[OCR] Verify user consent flow is performed during OCR_WinRE boot in Client control Mode (CCM) Mode</t>
  </si>
  <si>
    <t>HSD Fail:16018235342: [RPL-HX][DDR5][RPL-HX-CPU][RPL-S]:Unable to perform the complete WinRE action once After CCM mode is Activated</t>
  </si>
  <si>
    <t>CSS-IVE-147184</t>
  </si>
  <si>
    <t>HSD Fail: 6018113804 : [IFWI][RPL-S B1 Production][RPL-Hx][Production B0]: Incorrect BIOS Guard version is enumerating in OS with System Scope tool(3.5.1010) and BIOS Guard error observed in Self Test tool.</t>
  </si>
  <si>
    <t>TCD_ID</t>
  </si>
  <si>
    <t>TCD_Title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</si>
</sst>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</font>
    <font>
      <sz val="11"/>
      <color rgb="FF000000"/>
      <name val="Calibri"/>
      <family val="2"/>
    </font>
    <font>
      <u/>
      <sz val="11"/>
      <color rgb="FF0563C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2F75B5"/>
        <bgColor rgb="FF000000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1" xfId="0" applyFont="1" applyBorder="1"/>
    <xf numFmtId="14" fontId="2" fillId="0" borderId="1" xfId="0" applyNumberFormat="1" applyFont="1" applyBorder="1"/>
    <xf numFmtId="0" fontId="3" fillId="0" borderId="1" xfId="0" applyFont="1" applyBorder="1"/>
    <xf numFmtId="0" fontId="2" fillId="0" borderId="1" xfId="0" applyFont="1" applyBorder="1" applyAlignment="1">
      <alignment wrapText="1"/>
    </xf>
    <xf numFmtId="0" fontId="2" fillId="3" borderId="1" xfId="0" applyFont="1" applyFill="1" applyBorder="1"/>
    <xf numFmtId="0" fontId="2" fillId="4" borderId="1" xfId="0" applyFont="1" applyFill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34"/>
  <sheetViews>
    <sheetView tabSelected="1" topLeftCell="A622" workbookViewId="0">
      <selection activeCell="B1" sqref="B1"/>
    </sheetView>
  </sheetViews>
  <sheetFormatPr defaultRowHeight="14.4" x14ac:dyDescent="0.3"/>
  <cols>
    <col min="2" max="2" width="89.77734375" customWidth="1"/>
    <col min="3" max="3" width="14" bestFit="1" customWidth="1"/>
    <col min="5" max="5" width="181.77734375" bestFit="1" customWidth="1"/>
    <col min="6" max="6" width="35.6640625" bestFit="1" customWidth="1"/>
    <col min="7" max="7" width="37.21875" bestFit="1" customWidth="1"/>
  </cols>
  <sheetData>
    <row r="1" spans="1:8" x14ac:dyDescent="0.3">
      <c r="A1" s="1" t="s">
        <v>1253</v>
      </c>
      <c r="B1" s="1" t="s">
        <v>1254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3">
      <c r="A2" s="2" t="str">
        <f>HYPERLINK("https://hsdes.intel.com/resource/1509819989","1509819989")</f>
        <v>1509819989</v>
      </c>
      <c r="B2" s="2" t="s">
        <v>7</v>
      </c>
      <c r="C2" s="2" t="s">
        <v>6</v>
      </c>
      <c r="D2" s="6" t="s">
        <v>8</v>
      </c>
      <c r="E2" s="2"/>
      <c r="F2" s="2" t="s">
        <v>9</v>
      </c>
      <c r="G2" s="2" t="s">
        <v>10</v>
      </c>
      <c r="H2" s="2" t="s">
        <v>11</v>
      </c>
    </row>
    <row r="3" spans="1:8" x14ac:dyDescent="0.3">
      <c r="A3" s="2" t="str">
        <f>HYPERLINK("https://hsdes.intel.com/resource/14013114837","14013114837")</f>
        <v>14013114837</v>
      </c>
      <c r="B3" s="2" t="s">
        <v>13</v>
      </c>
      <c r="C3" s="2" t="s">
        <v>12</v>
      </c>
      <c r="D3" s="6" t="s">
        <v>8</v>
      </c>
      <c r="E3" s="2"/>
      <c r="F3" s="2" t="s">
        <v>14</v>
      </c>
      <c r="G3" s="2" t="s">
        <v>15</v>
      </c>
      <c r="H3" s="2" t="s">
        <v>16</v>
      </c>
    </row>
    <row r="4" spans="1:8" x14ac:dyDescent="0.3">
      <c r="A4" s="2" t="str">
        <f>HYPERLINK("https://hsdes.intel.com/resource/14013114941","14013114941")</f>
        <v>14013114941</v>
      </c>
      <c r="B4" s="2" t="s">
        <v>18</v>
      </c>
      <c r="C4" s="2" t="s">
        <v>17</v>
      </c>
      <c r="D4" s="6" t="s">
        <v>8</v>
      </c>
      <c r="E4" s="2"/>
      <c r="F4" s="2" t="s">
        <v>9</v>
      </c>
      <c r="G4" s="2" t="s">
        <v>10</v>
      </c>
      <c r="H4" s="2" t="s">
        <v>16</v>
      </c>
    </row>
    <row r="5" spans="1:8" x14ac:dyDescent="0.3">
      <c r="A5" s="2" t="str">
        <f>HYPERLINK("https://hsdes.intel.com/resource/14013115389","14013115389")</f>
        <v>14013115389</v>
      </c>
      <c r="B5" s="2" t="s">
        <v>20</v>
      </c>
      <c r="C5" s="2" t="s">
        <v>19</v>
      </c>
      <c r="D5" s="6" t="s">
        <v>8</v>
      </c>
      <c r="E5" s="2"/>
      <c r="F5" s="2" t="s">
        <v>21</v>
      </c>
      <c r="G5" s="2" t="s">
        <v>22</v>
      </c>
      <c r="H5" s="2" t="s">
        <v>16</v>
      </c>
    </row>
    <row r="6" spans="1:8" x14ac:dyDescent="0.3">
      <c r="A6" s="2" t="str">
        <f>HYPERLINK("https://hsdes.intel.com/resource/14013117289","14013117289")</f>
        <v>14013117289</v>
      </c>
      <c r="B6" s="2" t="s">
        <v>24</v>
      </c>
      <c r="C6" s="2" t="s">
        <v>23</v>
      </c>
      <c r="D6" s="6" t="s">
        <v>8</v>
      </c>
      <c r="E6" s="2"/>
      <c r="F6" s="2" t="s">
        <v>25</v>
      </c>
      <c r="G6" s="2" t="s">
        <v>26</v>
      </c>
      <c r="H6" s="2" t="s">
        <v>16</v>
      </c>
    </row>
    <row r="7" spans="1:8" x14ac:dyDescent="0.3">
      <c r="A7" s="2" t="str">
        <f>HYPERLINK("https://hsdes.intel.com/resource/14013118918","14013118918")</f>
        <v>14013118918</v>
      </c>
      <c r="B7" s="2" t="s">
        <v>28</v>
      </c>
      <c r="C7" s="2" t="s">
        <v>27</v>
      </c>
      <c r="D7" s="6" t="s">
        <v>8</v>
      </c>
      <c r="E7" s="2"/>
      <c r="F7" s="2" t="s">
        <v>29</v>
      </c>
      <c r="G7" s="2" t="s">
        <v>30</v>
      </c>
      <c r="H7" s="2" t="s">
        <v>16</v>
      </c>
    </row>
    <row r="8" spans="1:8" x14ac:dyDescent="0.3">
      <c r="A8" s="2" t="str">
        <f>HYPERLINK("https://hsdes.intel.com/resource/14013119125","14013119125")</f>
        <v>14013119125</v>
      </c>
      <c r="B8" s="2" t="s">
        <v>32</v>
      </c>
      <c r="C8" s="2" t="s">
        <v>31</v>
      </c>
      <c r="D8" s="6" t="s">
        <v>8</v>
      </c>
      <c r="E8" s="2"/>
      <c r="F8" s="2" t="s">
        <v>33</v>
      </c>
      <c r="G8" s="2" t="s">
        <v>34</v>
      </c>
      <c r="H8" s="2" t="s">
        <v>16</v>
      </c>
    </row>
    <row r="9" spans="1:8" x14ac:dyDescent="0.3">
      <c r="A9" s="2" t="str">
        <f>HYPERLINK("https://hsdes.intel.com/resource/14013120501","14013120501")</f>
        <v>14013120501</v>
      </c>
      <c r="B9" s="2" t="s">
        <v>36</v>
      </c>
      <c r="C9" s="2" t="s">
        <v>35</v>
      </c>
      <c r="D9" s="6" t="s">
        <v>8</v>
      </c>
      <c r="E9" s="2"/>
      <c r="F9" s="2" t="s">
        <v>37</v>
      </c>
      <c r="G9" s="2" t="s">
        <v>38</v>
      </c>
      <c r="H9" s="2" t="s">
        <v>16</v>
      </c>
    </row>
    <row r="10" spans="1:8" x14ac:dyDescent="0.3">
      <c r="A10" s="4" t="str">
        <f>HYPERLINK("https://hsdes.intel.com/resource/14013120885","14013120885")</f>
        <v>14013120885</v>
      </c>
      <c r="B10" s="2" t="s">
        <v>40</v>
      </c>
      <c r="C10" s="2" t="s">
        <v>39</v>
      </c>
      <c r="D10" s="6" t="s">
        <v>8</v>
      </c>
      <c r="E10" s="2"/>
      <c r="F10" s="2" t="s">
        <v>21</v>
      </c>
      <c r="G10" s="2" t="s">
        <v>22</v>
      </c>
      <c r="H10" s="2" t="s">
        <v>41</v>
      </c>
    </row>
    <row r="11" spans="1:8" x14ac:dyDescent="0.3">
      <c r="A11" s="2" t="str">
        <f>HYPERLINK("https://hsdes.intel.com/resource/14013120952","14013120952")</f>
        <v>14013120952</v>
      </c>
      <c r="B11" s="2" t="s">
        <v>43</v>
      </c>
      <c r="C11" s="2" t="s">
        <v>42</v>
      </c>
      <c r="D11" s="6" t="s">
        <v>8</v>
      </c>
      <c r="E11" s="2"/>
      <c r="F11" s="2" t="s">
        <v>21</v>
      </c>
      <c r="G11" s="2" t="s">
        <v>22</v>
      </c>
      <c r="H11" s="2" t="s">
        <v>16</v>
      </c>
    </row>
    <row r="12" spans="1:8" x14ac:dyDescent="0.3">
      <c r="A12" s="2" t="str">
        <f>HYPERLINK("https://hsdes.intel.com/resource/14013120979","14013120979")</f>
        <v>14013120979</v>
      </c>
      <c r="B12" s="2" t="s">
        <v>45</v>
      </c>
      <c r="C12" s="2" t="s">
        <v>44</v>
      </c>
      <c r="D12" s="6" t="s">
        <v>8</v>
      </c>
      <c r="E12" s="2"/>
      <c r="F12" s="2" t="s">
        <v>21</v>
      </c>
      <c r="G12" s="2" t="s">
        <v>22</v>
      </c>
      <c r="H12" s="2" t="s">
        <v>16</v>
      </c>
    </row>
    <row r="13" spans="1:8" x14ac:dyDescent="0.3">
      <c r="A13" s="2" t="str">
        <f>HYPERLINK("https://hsdes.intel.com/resource/14013121041","14013121041")</f>
        <v>14013121041</v>
      </c>
      <c r="B13" s="2" t="s">
        <v>47</v>
      </c>
      <c r="C13" s="2" t="s">
        <v>46</v>
      </c>
      <c r="D13" s="6" t="s">
        <v>8</v>
      </c>
      <c r="E13" s="2"/>
      <c r="F13" s="2" t="s">
        <v>21</v>
      </c>
      <c r="G13" s="2" t="s">
        <v>22</v>
      </c>
      <c r="H13" s="2" t="s">
        <v>16</v>
      </c>
    </row>
    <row r="14" spans="1:8" x14ac:dyDescent="0.3">
      <c r="A14" s="2" t="str">
        <f>HYPERLINK("https://hsdes.intel.com/resource/14013121252","14013121252")</f>
        <v>14013121252</v>
      </c>
      <c r="B14" s="2" t="s">
        <v>49</v>
      </c>
      <c r="C14" s="2" t="s">
        <v>48</v>
      </c>
      <c r="D14" s="6" t="s">
        <v>8</v>
      </c>
      <c r="E14" s="2"/>
      <c r="F14" s="2" t="s">
        <v>9</v>
      </c>
      <c r="G14" s="2" t="s">
        <v>10</v>
      </c>
      <c r="H14" s="2" t="s">
        <v>11</v>
      </c>
    </row>
    <row r="15" spans="1:8" x14ac:dyDescent="0.3">
      <c r="A15" s="4" t="str">
        <f>HYPERLINK("https://hsdes.intel.com/resource/14013121481","14013121481")</f>
        <v>14013121481</v>
      </c>
      <c r="B15" s="2" t="s">
        <v>51</v>
      </c>
      <c r="C15" s="2" t="s">
        <v>50</v>
      </c>
      <c r="D15" s="6" t="s">
        <v>8</v>
      </c>
      <c r="E15" s="2"/>
      <c r="F15" s="2" t="s">
        <v>29</v>
      </c>
      <c r="G15" s="2" t="s">
        <v>52</v>
      </c>
      <c r="H15" s="2" t="s">
        <v>41</v>
      </c>
    </row>
    <row r="16" spans="1:8" x14ac:dyDescent="0.3">
      <c r="A16" s="2" t="str">
        <f>HYPERLINK("https://hsdes.intel.com/resource/14013121573","14013121573")</f>
        <v>14013121573</v>
      </c>
      <c r="B16" s="2" t="s">
        <v>54</v>
      </c>
      <c r="C16" s="2" t="s">
        <v>53</v>
      </c>
      <c r="D16" s="6" t="s">
        <v>8</v>
      </c>
      <c r="E16" s="2"/>
      <c r="F16" s="2" t="s">
        <v>55</v>
      </c>
      <c r="G16" s="2" t="s">
        <v>22</v>
      </c>
      <c r="H16" s="2" t="s">
        <v>16</v>
      </c>
    </row>
    <row r="17" spans="1:8" x14ac:dyDescent="0.3">
      <c r="A17" s="2" t="str">
        <f>HYPERLINK("https://hsdes.intel.com/resource/14013121695","14013121695")</f>
        <v>14013121695</v>
      </c>
      <c r="B17" s="2" t="s">
        <v>57</v>
      </c>
      <c r="C17" s="2" t="s">
        <v>56</v>
      </c>
      <c r="D17" s="6" t="s">
        <v>8</v>
      </c>
      <c r="E17" s="2"/>
      <c r="F17" s="2" t="s">
        <v>55</v>
      </c>
      <c r="G17" s="2" t="s">
        <v>22</v>
      </c>
      <c r="H17" s="2" t="s">
        <v>11</v>
      </c>
    </row>
    <row r="18" spans="1:8" x14ac:dyDescent="0.3">
      <c r="A18" s="2" t="str">
        <f>HYPERLINK("https://hsdes.intel.com/resource/14013156689","14013156689")</f>
        <v>14013156689</v>
      </c>
      <c r="B18" s="2" t="s">
        <v>59</v>
      </c>
      <c r="C18" s="2" t="s">
        <v>58</v>
      </c>
      <c r="D18" s="6" t="s">
        <v>8</v>
      </c>
      <c r="E18" s="2"/>
      <c r="F18" s="2" t="s">
        <v>25</v>
      </c>
      <c r="G18" s="2" t="s">
        <v>26</v>
      </c>
      <c r="H18" s="2" t="s">
        <v>11</v>
      </c>
    </row>
    <row r="19" spans="1:8" x14ac:dyDescent="0.3">
      <c r="A19" s="2" t="str">
        <f>HYPERLINK("https://hsdes.intel.com/resource/14013156692","14013156692")</f>
        <v>14013156692</v>
      </c>
      <c r="B19" s="2" t="s">
        <v>61</v>
      </c>
      <c r="C19" s="2" t="s">
        <v>60</v>
      </c>
      <c r="D19" s="6" t="s">
        <v>8</v>
      </c>
      <c r="E19" s="2"/>
      <c r="F19" s="2" t="s">
        <v>62</v>
      </c>
      <c r="G19" s="2" t="s">
        <v>63</v>
      </c>
      <c r="H19" s="2" t="s">
        <v>16</v>
      </c>
    </row>
    <row r="20" spans="1:8" x14ac:dyDescent="0.3">
      <c r="A20" s="2" t="str">
        <f>HYPERLINK("https://hsdes.intel.com/resource/14013156708","14013156708")</f>
        <v>14013156708</v>
      </c>
      <c r="B20" s="2" t="s">
        <v>65</v>
      </c>
      <c r="C20" s="2" t="s">
        <v>64</v>
      </c>
      <c r="D20" s="6" t="s">
        <v>8</v>
      </c>
      <c r="E20" s="2"/>
      <c r="F20" s="2" t="s">
        <v>62</v>
      </c>
      <c r="G20" s="2" t="s">
        <v>63</v>
      </c>
      <c r="H20" s="2" t="s">
        <v>16</v>
      </c>
    </row>
    <row r="21" spans="1:8" x14ac:dyDescent="0.3">
      <c r="A21" s="2" t="str">
        <f>HYPERLINK("https://hsdes.intel.com/resource/14013156710","14013156710")</f>
        <v>14013156710</v>
      </c>
      <c r="B21" s="2" t="s">
        <v>67</v>
      </c>
      <c r="C21" s="2" t="s">
        <v>66</v>
      </c>
      <c r="D21" s="6" t="s">
        <v>8</v>
      </c>
      <c r="E21" s="2"/>
      <c r="F21" s="2" t="s">
        <v>62</v>
      </c>
      <c r="G21" s="2" t="s">
        <v>63</v>
      </c>
      <c r="H21" s="2" t="s">
        <v>16</v>
      </c>
    </row>
    <row r="22" spans="1:8" x14ac:dyDescent="0.3">
      <c r="A22" s="2" t="str">
        <f>HYPERLINK("https://hsdes.intel.com/resource/14013156714","14013156714")</f>
        <v>14013156714</v>
      </c>
      <c r="B22" s="2" t="s">
        <v>69</v>
      </c>
      <c r="C22" s="2" t="s">
        <v>68</v>
      </c>
      <c r="D22" s="6" t="s">
        <v>8</v>
      </c>
      <c r="E22" s="2"/>
      <c r="F22" s="2" t="s">
        <v>62</v>
      </c>
      <c r="G22" s="2" t="s">
        <v>63</v>
      </c>
      <c r="H22" s="2" t="s">
        <v>16</v>
      </c>
    </row>
    <row r="23" spans="1:8" x14ac:dyDescent="0.3">
      <c r="A23" s="2" t="str">
        <f>HYPERLINK("https://hsdes.intel.com/resource/14013156716","14013156716")</f>
        <v>14013156716</v>
      </c>
      <c r="B23" s="2" t="s">
        <v>71</v>
      </c>
      <c r="C23" s="2" t="s">
        <v>70</v>
      </c>
      <c r="D23" s="6" t="s">
        <v>8</v>
      </c>
      <c r="E23" s="2"/>
      <c r="F23" s="2" t="s">
        <v>62</v>
      </c>
      <c r="G23" s="2" t="s">
        <v>63</v>
      </c>
      <c r="H23" s="2" t="s">
        <v>16</v>
      </c>
    </row>
    <row r="24" spans="1:8" x14ac:dyDescent="0.3">
      <c r="A24" s="2" t="str">
        <f>HYPERLINK("https://hsdes.intel.com/resource/14013156717","14013156717")</f>
        <v>14013156717</v>
      </c>
      <c r="B24" s="2" t="s">
        <v>73</v>
      </c>
      <c r="C24" s="2" t="s">
        <v>72</v>
      </c>
      <c r="D24" s="6" t="s">
        <v>8</v>
      </c>
      <c r="E24" s="2"/>
      <c r="F24" s="2" t="s">
        <v>62</v>
      </c>
      <c r="G24" s="2" t="s">
        <v>63</v>
      </c>
      <c r="H24" s="2" t="s">
        <v>16</v>
      </c>
    </row>
    <row r="25" spans="1:8" x14ac:dyDescent="0.3">
      <c r="A25" s="2" t="str">
        <f>HYPERLINK("https://hsdes.intel.com/resource/14013156718","14013156718")</f>
        <v>14013156718</v>
      </c>
      <c r="B25" s="2" t="s">
        <v>75</v>
      </c>
      <c r="C25" s="2" t="s">
        <v>74</v>
      </c>
      <c r="D25" s="6" t="s">
        <v>8</v>
      </c>
      <c r="E25" s="2"/>
      <c r="F25" s="2" t="s">
        <v>62</v>
      </c>
      <c r="G25" s="2" t="s">
        <v>63</v>
      </c>
      <c r="H25" s="2" t="s">
        <v>16</v>
      </c>
    </row>
    <row r="26" spans="1:8" x14ac:dyDescent="0.3">
      <c r="A26" s="2" t="str">
        <f>HYPERLINK("https://hsdes.intel.com/resource/14013156720","14013156720")</f>
        <v>14013156720</v>
      </c>
      <c r="B26" s="2" t="s">
        <v>77</v>
      </c>
      <c r="C26" s="2" t="s">
        <v>76</v>
      </c>
      <c r="D26" s="6" t="s">
        <v>8</v>
      </c>
      <c r="E26" s="2"/>
      <c r="F26" s="2" t="s">
        <v>62</v>
      </c>
      <c r="G26" s="2" t="s">
        <v>63</v>
      </c>
      <c r="H26" s="2" t="s">
        <v>16</v>
      </c>
    </row>
    <row r="27" spans="1:8" x14ac:dyDescent="0.3">
      <c r="A27" s="2" t="str">
        <f>HYPERLINK("https://hsdes.intel.com/resource/14013156738","14013156738")</f>
        <v>14013156738</v>
      </c>
      <c r="B27" s="2" t="s">
        <v>79</v>
      </c>
      <c r="C27" s="2" t="s">
        <v>78</v>
      </c>
      <c r="D27" s="6" t="s">
        <v>8</v>
      </c>
      <c r="E27" s="2"/>
      <c r="F27" s="2" t="s">
        <v>62</v>
      </c>
      <c r="G27" s="2" t="s">
        <v>63</v>
      </c>
      <c r="H27" s="2" t="s">
        <v>16</v>
      </c>
    </row>
    <row r="28" spans="1:8" x14ac:dyDescent="0.3">
      <c r="A28" s="4" t="str">
        <f>HYPERLINK("https://hsdes.intel.com/resource/14013156867","14013156867")</f>
        <v>14013156867</v>
      </c>
      <c r="B28" s="2" t="s">
        <v>81</v>
      </c>
      <c r="C28" s="2" t="s">
        <v>80</v>
      </c>
      <c r="D28" s="6" t="s">
        <v>8</v>
      </c>
      <c r="E28" s="2"/>
      <c r="F28" s="2" t="s">
        <v>29</v>
      </c>
      <c r="G28" s="2" t="s">
        <v>30</v>
      </c>
      <c r="H28" s="2" t="s">
        <v>11</v>
      </c>
    </row>
    <row r="29" spans="1:8" x14ac:dyDescent="0.3">
      <c r="A29" s="2" t="str">
        <f>HYPERLINK("https://hsdes.intel.com/resource/14013156876","14013156876")</f>
        <v>14013156876</v>
      </c>
      <c r="B29" s="2" t="s">
        <v>83</v>
      </c>
      <c r="C29" s="2" t="s">
        <v>82</v>
      </c>
      <c r="D29" s="6" t="s">
        <v>8</v>
      </c>
      <c r="E29" s="2"/>
      <c r="F29" s="2" t="s">
        <v>21</v>
      </c>
      <c r="G29" s="2" t="s">
        <v>22</v>
      </c>
      <c r="H29" s="2" t="s">
        <v>16</v>
      </c>
    </row>
    <row r="30" spans="1:8" x14ac:dyDescent="0.3">
      <c r="A30" s="2" t="str">
        <f>HYPERLINK("https://hsdes.intel.com/resource/14013156881","14013156881")</f>
        <v>14013156881</v>
      </c>
      <c r="B30" s="2" t="s">
        <v>85</v>
      </c>
      <c r="C30" s="2" t="s">
        <v>84</v>
      </c>
      <c r="D30" s="6" t="s">
        <v>8</v>
      </c>
      <c r="E30" s="2"/>
      <c r="F30" s="2" t="s">
        <v>21</v>
      </c>
      <c r="G30" s="2" t="s">
        <v>22</v>
      </c>
      <c r="H30" s="2" t="s">
        <v>16</v>
      </c>
    </row>
    <row r="31" spans="1:8" x14ac:dyDescent="0.3">
      <c r="A31" s="2" t="str">
        <f>HYPERLINK("https://hsdes.intel.com/resource/14013156882","14013156882")</f>
        <v>14013156882</v>
      </c>
      <c r="B31" s="2" t="s">
        <v>87</v>
      </c>
      <c r="C31" s="2" t="s">
        <v>86</v>
      </c>
      <c r="D31" s="7" t="s">
        <v>88</v>
      </c>
      <c r="E31" s="2" t="s">
        <v>89</v>
      </c>
      <c r="F31" s="2" t="s">
        <v>21</v>
      </c>
      <c r="G31" s="2" t="s">
        <v>22</v>
      </c>
      <c r="H31" s="2" t="s">
        <v>16</v>
      </c>
    </row>
    <row r="32" spans="1:8" x14ac:dyDescent="0.3">
      <c r="A32" s="4" t="str">
        <f>HYPERLINK("https://hsdes.intel.com/resource/14013156884","14013156884")</f>
        <v>14013156884</v>
      </c>
      <c r="B32" s="2" t="s">
        <v>91</v>
      </c>
      <c r="C32" s="2" t="s">
        <v>90</v>
      </c>
      <c r="D32" s="6" t="s">
        <v>8</v>
      </c>
      <c r="E32" s="2"/>
      <c r="F32" s="2" t="s">
        <v>29</v>
      </c>
      <c r="G32" s="2" t="s">
        <v>30</v>
      </c>
      <c r="H32" s="2" t="s">
        <v>11</v>
      </c>
    </row>
    <row r="33" spans="1:8" x14ac:dyDescent="0.3">
      <c r="A33" s="2" t="str">
        <f>HYPERLINK("https://hsdes.intel.com/resource/14013157006","14013157006")</f>
        <v>14013157006</v>
      </c>
      <c r="B33" s="2" t="s">
        <v>93</v>
      </c>
      <c r="C33" s="2" t="s">
        <v>92</v>
      </c>
      <c r="D33" s="6" t="s">
        <v>8</v>
      </c>
      <c r="E33" s="2"/>
      <c r="F33" s="2" t="s">
        <v>14</v>
      </c>
      <c r="G33" s="2" t="s">
        <v>15</v>
      </c>
      <c r="H33" s="2" t="s">
        <v>16</v>
      </c>
    </row>
    <row r="34" spans="1:8" x14ac:dyDescent="0.3">
      <c r="A34" s="2" t="str">
        <f>HYPERLINK("https://hsdes.intel.com/resource/14013157183","14013157183")</f>
        <v>14013157183</v>
      </c>
      <c r="B34" s="2" t="s">
        <v>95</v>
      </c>
      <c r="C34" s="2" t="s">
        <v>94</v>
      </c>
      <c r="D34" s="6" t="s">
        <v>8</v>
      </c>
      <c r="E34" s="2"/>
      <c r="F34" s="2" t="s">
        <v>21</v>
      </c>
      <c r="G34" s="2" t="s">
        <v>22</v>
      </c>
      <c r="H34" s="2" t="s">
        <v>11</v>
      </c>
    </row>
    <row r="35" spans="1:8" x14ac:dyDescent="0.3">
      <c r="A35" s="2" t="str">
        <f>HYPERLINK("https://hsdes.intel.com/resource/14013157206","14013157206")</f>
        <v>14013157206</v>
      </c>
      <c r="B35" s="2" t="s">
        <v>97</v>
      </c>
      <c r="C35" s="2" t="s">
        <v>96</v>
      </c>
      <c r="D35" s="7" t="s">
        <v>88</v>
      </c>
      <c r="E35" s="2" t="s">
        <v>1252</v>
      </c>
      <c r="F35" s="2" t="s">
        <v>37</v>
      </c>
      <c r="G35" s="2" t="s">
        <v>98</v>
      </c>
      <c r="H35" s="2" t="s">
        <v>11</v>
      </c>
    </row>
    <row r="36" spans="1:8" x14ac:dyDescent="0.3">
      <c r="A36" s="2" t="str">
        <f>HYPERLINK("https://hsdes.intel.com/resource/14013157212","14013157212")</f>
        <v>14013157212</v>
      </c>
      <c r="B36" s="2" t="s">
        <v>100</v>
      </c>
      <c r="C36" s="2" t="s">
        <v>99</v>
      </c>
      <c r="D36" s="6" t="s">
        <v>8</v>
      </c>
      <c r="E36" s="2"/>
      <c r="F36" s="2" t="s">
        <v>37</v>
      </c>
      <c r="G36" s="2" t="s">
        <v>98</v>
      </c>
      <c r="H36" s="2" t="s">
        <v>16</v>
      </c>
    </row>
    <row r="37" spans="1:8" x14ac:dyDescent="0.3">
      <c r="A37" s="2" t="str">
        <f>HYPERLINK("https://hsdes.intel.com/resource/14013157230","14013157230")</f>
        <v>14013157230</v>
      </c>
      <c r="B37" s="2" t="s">
        <v>102</v>
      </c>
      <c r="C37" s="2" t="s">
        <v>101</v>
      </c>
      <c r="D37" s="6" t="s">
        <v>8</v>
      </c>
      <c r="E37" s="2"/>
      <c r="F37" s="2" t="s">
        <v>21</v>
      </c>
      <c r="G37" s="2" t="s">
        <v>22</v>
      </c>
      <c r="H37" s="2" t="s">
        <v>16</v>
      </c>
    </row>
    <row r="38" spans="1:8" x14ac:dyDescent="0.3">
      <c r="A38" s="2" t="str">
        <f>HYPERLINK("https://hsdes.intel.com/resource/14013157367","14013157367")</f>
        <v>14013157367</v>
      </c>
      <c r="B38" s="2" t="s">
        <v>104</v>
      </c>
      <c r="C38" s="2" t="s">
        <v>103</v>
      </c>
      <c r="D38" s="6" t="s">
        <v>8</v>
      </c>
      <c r="E38" s="2"/>
      <c r="F38" s="2" t="s">
        <v>21</v>
      </c>
      <c r="G38" s="2" t="s">
        <v>22</v>
      </c>
      <c r="H38" s="2" t="s">
        <v>16</v>
      </c>
    </row>
    <row r="39" spans="1:8" x14ac:dyDescent="0.3">
      <c r="A39" s="2" t="str">
        <f>HYPERLINK("https://hsdes.intel.com/resource/14013157460","14013157460")</f>
        <v>14013157460</v>
      </c>
      <c r="B39" s="2" t="s">
        <v>106</v>
      </c>
      <c r="C39" s="2" t="s">
        <v>105</v>
      </c>
      <c r="D39" s="6" t="s">
        <v>8</v>
      </c>
      <c r="E39" s="2"/>
      <c r="F39" s="2" t="s">
        <v>21</v>
      </c>
      <c r="G39" s="2" t="s">
        <v>22</v>
      </c>
      <c r="H39" s="2" t="s">
        <v>16</v>
      </c>
    </row>
    <row r="40" spans="1:8" x14ac:dyDescent="0.3">
      <c r="A40" s="2" t="str">
        <f>HYPERLINK("https://hsdes.intel.com/resource/14013157462","14013157462")</f>
        <v>14013157462</v>
      </c>
      <c r="B40" s="2" t="s">
        <v>108</v>
      </c>
      <c r="C40" s="2" t="s">
        <v>107</v>
      </c>
      <c r="D40" s="6" t="s">
        <v>8</v>
      </c>
      <c r="E40" s="2"/>
      <c r="F40" s="2" t="s">
        <v>21</v>
      </c>
      <c r="G40" s="2" t="s">
        <v>22</v>
      </c>
      <c r="H40" s="2" t="s">
        <v>16</v>
      </c>
    </row>
    <row r="41" spans="1:8" x14ac:dyDescent="0.3">
      <c r="A41" s="2" t="str">
        <f>HYPERLINK("https://hsdes.intel.com/resource/14013157472","14013157472")</f>
        <v>14013157472</v>
      </c>
      <c r="B41" s="2" t="s">
        <v>110</v>
      </c>
      <c r="C41" s="2" t="s">
        <v>109</v>
      </c>
      <c r="D41" s="6" t="s">
        <v>8</v>
      </c>
      <c r="E41" s="2"/>
      <c r="F41" s="2" t="s">
        <v>21</v>
      </c>
      <c r="G41" s="2" t="s">
        <v>22</v>
      </c>
      <c r="H41" s="2" t="s">
        <v>16</v>
      </c>
    </row>
    <row r="42" spans="1:8" x14ac:dyDescent="0.3">
      <c r="A42" s="2" t="str">
        <f>HYPERLINK("https://hsdes.intel.com/resource/14013157532","14013157532")</f>
        <v>14013157532</v>
      </c>
      <c r="B42" s="2" t="s">
        <v>112</v>
      </c>
      <c r="C42" s="2" t="s">
        <v>111</v>
      </c>
      <c r="D42" s="6" t="s">
        <v>8</v>
      </c>
      <c r="E42" s="2"/>
      <c r="F42" s="2" t="s">
        <v>21</v>
      </c>
      <c r="G42" s="2" t="s">
        <v>22</v>
      </c>
      <c r="H42" s="2" t="s">
        <v>16</v>
      </c>
    </row>
    <row r="43" spans="1:8" x14ac:dyDescent="0.3">
      <c r="A43" s="2" t="str">
        <f>HYPERLINK("https://hsdes.intel.com/resource/14013157594","14013157594")</f>
        <v>14013157594</v>
      </c>
      <c r="B43" s="2" t="s">
        <v>114</v>
      </c>
      <c r="C43" s="2" t="s">
        <v>113</v>
      </c>
      <c r="D43" s="6" t="s">
        <v>8</v>
      </c>
      <c r="E43" s="2"/>
      <c r="F43" s="2" t="s">
        <v>37</v>
      </c>
      <c r="G43" s="2" t="s">
        <v>98</v>
      </c>
      <c r="H43" s="2" t="s">
        <v>16</v>
      </c>
    </row>
    <row r="44" spans="1:8" x14ac:dyDescent="0.3">
      <c r="A44" s="2" t="str">
        <f>HYPERLINK("https://hsdes.intel.com/resource/14013157596","14013157596")</f>
        <v>14013157596</v>
      </c>
      <c r="B44" s="2" t="s">
        <v>116</v>
      </c>
      <c r="C44" s="2" t="s">
        <v>115</v>
      </c>
      <c r="D44" s="6" t="s">
        <v>8</v>
      </c>
      <c r="E44" s="2"/>
      <c r="F44" s="2" t="s">
        <v>37</v>
      </c>
      <c r="G44" s="2" t="s">
        <v>98</v>
      </c>
      <c r="H44" s="2" t="s">
        <v>16</v>
      </c>
    </row>
    <row r="45" spans="1:8" x14ac:dyDescent="0.3">
      <c r="A45" s="2" t="str">
        <f>HYPERLINK("https://hsdes.intel.com/resource/14013157601","14013157601")</f>
        <v>14013157601</v>
      </c>
      <c r="B45" s="2" t="s">
        <v>118</v>
      </c>
      <c r="C45" s="2" t="s">
        <v>117</v>
      </c>
      <c r="D45" s="6" t="s">
        <v>8</v>
      </c>
      <c r="E45" s="2"/>
      <c r="F45" s="2" t="s">
        <v>37</v>
      </c>
      <c r="G45" s="2" t="s">
        <v>98</v>
      </c>
      <c r="H45" s="2" t="s">
        <v>16</v>
      </c>
    </row>
    <row r="46" spans="1:8" x14ac:dyDescent="0.3">
      <c r="A46" s="2" t="str">
        <f>HYPERLINK("https://hsdes.intel.com/resource/14013157608","14013157608")</f>
        <v>14013157608</v>
      </c>
      <c r="B46" s="2" t="s">
        <v>120</v>
      </c>
      <c r="C46" s="2" t="s">
        <v>119</v>
      </c>
      <c r="D46" s="6" t="s">
        <v>8</v>
      </c>
      <c r="E46" s="2"/>
      <c r="F46" s="2" t="s">
        <v>37</v>
      </c>
      <c r="G46" s="2" t="s">
        <v>98</v>
      </c>
      <c r="H46" s="2" t="s">
        <v>16</v>
      </c>
    </row>
    <row r="47" spans="1:8" x14ac:dyDescent="0.3">
      <c r="A47" s="2" t="str">
        <f>HYPERLINK("https://hsdes.intel.com/resource/14013157611","14013157611")</f>
        <v>14013157611</v>
      </c>
      <c r="B47" s="2" t="s">
        <v>122</v>
      </c>
      <c r="C47" s="2" t="s">
        <v>121</v>
      </c>
      <c r="D47" s="6" t="s">
        <v>8</v>
      </c>
      <c r="E47" s="2"/>
      <c r="F47" s="2" t="s">
        <v>37</v>
      </c>
      <c r="G47" s="2" t="s">
        <v>98</v>
      </c>
      <c r="H47" s="2" t="s">
        <v>16</v>
      </c>
    </row>
    <row r="48" spans="1:8" x14ac:dyDescent="0.3">
      <c r="A48" s="2" t="str">
        <f>HYPERLINK("https://hsdes.intel.com/resource/14013157613","14013157613")</f>
        <v>14013157613</v>
      </c>
      <c r="B48" s="2" t="s">
        <v>124</v>
      </c>
      <c r="C48" s="2" t="s">
        <v>123</v>
      </c>
      <c r="D48" s="6" t="s">
        <v>8</v>
      </c>
      <c r="E48" s="2"/>
      <c r="F48" s="2" t="s">
        <v>37</v>
      </c>
      <c r="G48" s="2" t="s">
        <v>98</v>
      </c>
      <c r="H48" s="2" t="s">
        <v>16</v>
      </c>
    </row>
    <row r="49" spans="1:8" x14ac:dyDescent="0.3">
      <c r="A49" s="2" t="str">
        <f>HYPERLINK("https://hsdes.intel.com/resource/14013157614","14013157614")</f>
        <v>14013157614</v>
      </c>
      <c r="B49" s="2" t="s">
        <v>126</v>
      </c>
      <c r="C49" s="2" t="s">
        <v>125</v>
      </c>
      <c r="D49" s="6" t="s">
        <v>8</v>
      </c>
      <c r="E49" s="2"/>
      <c r="F49" s="2" t="s">
        <v>37</v>
      </c>
      <c r="G49" s="2" t="s">
        <v>98</v>
      </c>
      <c r="H49" s="2" t="s">
        <v>16</v>
      </c>
    </row>
    <row r="50" spans="1:8" x14ac:dyDescent="0.3">
      <c r="A50" s="2" t="str">
        <f>HYPERLINK("https://hsdes.intel.com/resource/14013157616","14013157616")</f>
        <v>14013157616</v>
      </c>
      <c r="B50" s="2" t="s">
        <v>128</v>
      </c>
      <c r="C50" s="2" t="s">
        <v>127</v>
      </c>
      <c r="D50" s="6" t="s">
        <v>8</v>
      </c>
      <c r="E50" s="2"/>
      <c r="F50" s="2" t="s">
        <v>37</v>
      </c>
      <c r="G50" s="2" t="s">
        <v>98</v>
      </c>
      <c r="H50" s="2" t="s">
        <v>16</v>
      </c>
    </row>
    <row r="51" spans="1:8" x14ac:dyDescent="0.3">
      <c r="A51" s="2" t="str">
        <f>HYPERLINK("https://hsdes.intel.com/resource/14013157654","14013157654")</f>
        <v>14013157654</v>
      </c>
      <c r="B51" s="2" t="s">
        <v>130</v>
      </c>
      <c r="C51" s="2" t="s">
        <v>129</v>
      </c>
      <c r="D51" s="6" t="s">
        <v>8</v>
      </c>
      <c r="E51" s="2"/>
      <c r="F51" s="2" t="s">
        <v>37</v>
      </c>
      <c r="G51" s="2" t="s">
        <v>98</v>
      </c>
      <c r="H51" s="2" t="s">
        <v>41</v>
      </c>
    </row>
    <row r="52" spans="1:8" x14ac:dyDescent="0.3">
      <c r="A52" s="2" t="str">
        <f>HYPERLINK("https://hsdes.intel.com/resource/14013157668","14013157668")</f>
        <v>14013157668</v>
      </c>
      <c r="B52" s="2" t="s">
        <v>132</v>
      </c>
      <c r="C52" s="2" t="s">
        <v>131</v>
      </c>
      <c r="D52" s="6" t="s">
        <v>8</v>
      </c>
      <c r="E52" s="2"/>
      <c r="F52" s="2" t="s">
        <v>37</v>
      </c>
      <c r="G52" s="2" t="s">
        <v>98</v>
      </c>
      <c r="H52" s="2" t="s">
        <v>11</v>
      </c>
    </row>
    <row r="53" spans="1:8" x14ac:dyDescent="0.3">
      <c r="A53" s="2" t="str">
        <f>HYPERLINK("https://hsdes.intel.com/resource/14013157757","14013157757")</f>
        <v>14013157757</v>
      </c>
      <c r="B53" s="2" t="s">
        <v>134</v>
      </c>
      <c r="C53" s="2" t="s">
        <v>133</v>
      </c>
      <c r="D53" s="6" t="s">
        <v>8</v>
      </c>
      <c r="E53" s="2"/>
      <c r="F53" s="2" t="s">
        <v>135</v>
      </c>
      <c r="G53" s="2" t="s">
        <v>136</v>
      </c>
      <c r="H53" s="2" t="s">
        <v>11</v>
      </c>
    </row>
    <row r="54" spans="1:8" x14ac:dyDescent="0.3">
      <c r="A54" s="2" t="str">
        <f>HYPERLINK("https://hsdes.intel.com/resource/14013157813","14013157813")</f>
        <v>14013157813</v>
      </c>
      <c r="B54" s="2" t="s">
        <v>138</v>
      </c>
      <c r="C54" s="2" t="s">
        <v>137</v>
      </c>
      <c r="D54" s="6" t="s">
        <v>8</v>
      </c>
      <c r="E54" s="2"/>
      <c r="F54" s="2" t="s">
        <v>21</v>
      </c>
      <c r="G54" s="2" t="s">
        <v>22</v>
      </c>
      <c r="H54" s="2" t="s">
        <v>16</v>
      </c>
    </row>
    <row r="55" spans="1:8" x14ac:dyDescent="0.3">
      <c r="A55" s="2" t="str">
        <f>HYPERLINK("https://hsdes.intel.com/resource/14013158146","14013158146")</f>
        <v>14013158146</v>
      </c>
      <c r="B55" s="2" t="s">
        <v>140</v>
      </c>
      <c r="C55" s="2" t="s">
        <v>139</v>
      </c>
      <c r="D55" s="6" t="s">
        <v>8</v>
      </c>
      <c r="E55" s="2"/>
      <c r="F55" s="2" t="s">
        <v>21</v>
      </c>
      <c r="G55" s="2" t="s">
        <v>22</v>
      </c>
      <c r="H55" s="2" t="s">
        <v>16</v>
      </c>
    </row>
    <row r="56" spans="1:8" x14ac:dyDescent="0.3">
      <c r="A56" s="2" t="str">
        <f>HYPERLINK("https://hsdes.intel.com/resource/14013158254","14013158254")</f>
        <v>14013158254</v>
      </c>
      <c r="B56" s="2" t="s">
        <v>142</v>
      </c>
      <c r="C56" s="2" t="s">
        <v>141</v>
      </c>
      <c r="D56" s="6" t="s">
        <v>8</v>
      </c>
      <c r="E56" s="2"/>
      <c r="F56" s="2" t="s">
        <v>9</v>
      </c>
      <c r="G56" s="2" t="s">
        <v>10</v>
      </c>
      <c r="H56" s="2" t="s">
        <v>11</v>
      </c>
    </row>
    <row r="57" spans="1:8" x14ac:dyDescent="0.3">
      <c r="A57" s="2" t="str">
        <f>HYPERLINK("https://hsdes.intel.com/resource/14013158298","14013158298")</f>
        <v>14013158298</v>
      </c>
      <c r="B57" s="2" t="s">
        <v>144</v>
      </c>
      <c r="C57" s="2" t="s">
        <v>143</v>
      </c>
      <c r="D57" s="6" t="s">
        <v>8</v>
      </c>
      <c r="E57" s="2"/>
      <c r="F57" s="2" t="s">
        <v>9</v>
      </c>
      <c r="G57" s="2" t="s">
        <v>10</v>
      </c>
      <c r="H57" s="2" t="s">
        <v>41</v>
      </c>
    </row>
    <row r="58" spans="1:8" x14ac:dyDescent="0.3">
      <c r="A58" s="2" t="str">
        <f>HYPERLINK("https://hsdes.intel.com/resource/14013158321","14013158321")</f>
        <v>14013158321</v>
      </c>
      <c r="B58" s="2" t="s">
        <v>146</v>
      </c>
      <c r="C58" s="2" t="s">
        <v>145</v>
      </c>
      <c r="D58" s="6" t="s">
        <v>8</v>
      </c>
      <c r="E58" s="2"/>
      <c r="F58" s="2" t="s">
        <v>21</v>
      </c>
      <c r="G58" s="2" t="s">
        <v>22</v>
      </c>
      <c r="H58" s="2" t="s">
        <v>16</v>
      </c>
    </row>
    <row r="59" spans="1:8" x14ac:dyDescent="0.3">
      <c r="A59" s="2" t="str">
        <f>HYPERLINK("https://hsdes.intel.com/resource/14013158359","14013158359")</f>
        <v>14013158359</v>
      </c>
      <c r="B59" s="2" t="s">
        <v>148</v>
      </c>
      <c r="C59" s="2" t="s">
        <v>147</v>
      </c>
      <c r="D59" s="6" t="s">
        <v>8</v>
      </c>
      <c r="E59" s="2"/>
      <c r="F59" s="2" t="s">
        <v>29</v>
      </c>
      <c r="G59" s="2" t="s">
        <v>30</v>
      </c>
      <c r="H59" s="2" t="s">
        <v>16</v>
      </c>
    </row>
    <row r="60" spans="1:8" x14ac:dyDescent="0.3">
      <c r="A60" s="2" t="str">
        <f>HYPERLINK("https://hsdes.intel.com/resource/14013158389","14013158389")</f>
        <v>14013158389</v>
      </c>
      <c r="B60" s="2" t="s">
        <v>150</v>
      </c>
      <c r="C60" s="2" t="s">
        <v>149</v>
      </c>
      <c r="D60" s="6" t="s">
        <v>8</v>
      </c>
      <c r="E60" s="2"/>
      <c r="F60" s="2" t="s">
        <v>21</v>
      </c>
      <c r="G60" s="2" t="s">
        <v>22</v>
      </c>
      <c r="H60" s="2" t="s">
        <v>16</v>
      </c>
    </row>
    <row r="61" spans="1:8" x14ac:dyDescent="0.3">
      <c r="A61" s="2" t="str">
        <f>HYPERLINK("https://hsdes.intel.com/resource/14013158399","14013158399")</f>
        <v>14013158399</v>
      </c>
      <c r="B61" s="2" t="s">
        <v>152</v>
      </c>
      <c r="C61" s="2" t="s">
        <v>151</v>
      </c>
      <c r="D61" s="6" t="s">
        <v>8</v>
      </c>
      <c r="E61" s="2"/>
      <c r="F61" s="2" t="s">
        <v>9</v>
      </c>
      <c r="G61" s="2" t="s">
        <v>10</v>
      </c>
      <c r="H61" s="2" t="s">
        <v>11</v>
      </c>
    </row>
    <row r="62" spans="1:8" x14ac:dyDescent="0.3">
      <c r="A62" s="2" t="str">
        <f>HYPERLINK("https://hsdes.intel.com/resource/14013158404","14013158404")</f>
        <v>14013158404</v>
      </c>
      <c r="B62" s="2" t="s">
        <v>154</v>
      </c>
      <c r="C62" s="2" t="s">
        <v>153</v>
      </c>
      <c r="D62" s="6" t="s">
        <v>8</v>
      </c>
      <c r="E62" s="2"/>
      <c r="F62" s="2" t="s">
        <v>33</v>
      </c>
      <c r="G62" s="2" t="s">
        <v>155</v>
      </c>
      <c r="H62" s="2" t="s">
        <v>16</v>
      </c>
    </row>
    <row r="63" spans="1:8" x14ac:dyDescent="0.3">
      <c r="A63" s="2" t="str">
        <f>HYPERLINK("https://hsdes.intel.com/resource/14013158479","14013158479")</f>
        <v>14013158479</v>
      </c>
      <c r="B63" s="2" t="s">
        <v>157</v>
      </c>
      <c r="C63" s="2" t="s">
        <v>156</v>
      </c>
      <c r="D63" s="6" t="s">
        <v>8</v>
      </c>
      <c r="E63" s="2"/>
      <c r="F63" s="2" t="s">
        <v>158</v>
      </c>
      <c r="G63" s="2" t="s">
        <v>38</v>
      </c>
      <c r="H63" s="2" t="s">
        <v>16</v>
      </c>
    </row>
    <row r="64" spans="1:8" x14ac:dyDescent="0.3">
      <c r="A64" s="2" t="str">
        <f>HYPERLINK("https://hsdes.intel.com/resource/14013158482","14013158482")</f>
        <v>14013158482</v>
      </c>
      <c r="B64" s="2" t="s">
        <v>160</v>
      </c>
      <c r="C64" s="2" t="s">
        <v>159</v>
      </c>
      <c r="D64" s="6" t="s">
        <v>8</v>
      </c>
      <c r="E64" s="2"/>
      <c r="F64" s="2" t="s">
        <v>21</v>
      </c>
      <c r="G64" s="2" t="s">
        <v>22</v>
      </c>
      <c r="H64" s="2" t="s">
        <v>16</v>
      </c>
    </row>
    <row r="65" spans="1:8" x14ac:dyDescent="0.3">
      <c r="A65" s="2" t="str">
        <f>HYPERLINK("https://hsdes.intel.com/resource/14013158543","14013158543")</f>
        <v>14013158543</v>
      </c>
      <c r="B65" s="2" t="s">
        <v>162</v>
      </c>
      <c r="C65" s="2" t="s">
        <v>161</v>
      </c>
      <c r="D65" s="6" t="s">
        <v>8</v>
      </c>
      <c r="E65" s="2"/>
      <c r="F65" s="2" t="s">
        <v>29</v>
      </c>
      <c r="G65" s="2" t="s">
        <v>52</v>
      </c>
      <c r="H65" s="2" t="s">
        <v>11</v>
      </c>
    </row>
    <row r="66" spans="1:8" x14ac:dyDescent="0.3">
      <c r="A66" s="2" t="str">
        <f>HYPERLINK("https://hsdes.intel.com/resource/14013158547","14013158547")</f>
        <v>14013158547</v>
      </c>
      <c r="B66" s="2" t="s">
        <v>164</v>
      </c>
      <c r="C66" s="2" t="s">
        <v>163</v>
      </c>
      <c r="D66" s="6" t="s">
        <v>8</v>
      </c>
      <c r="E66" s="2"/>
      <c r="F66" s="2" t="s">
        <v>21</v>
      </c>
      <c r="G66" s="2" t="s">
        <v>22</v>
      </c>
      <c r="H66" s="2" t="s">
        <v>11</v>
      </c>
    </row>
    <row r="67" spans="1:8" x14ac:dyDescent="0.3">
      <c r="A67" s="2" t="str">
        <f>HYPERLINK("https://hsdes.intel.com/resource/14013158689","14013158689")</f>
        <v>14013158689</v>
      </c>
      <c r="B67" s="2" t="s">
        <v>166</v>
      </c>
      <c r="C67" s="2" t="s">
        <v>165</v>
      </c>
      <c r="D67" s="6" t="s">
        <v>8</v>
      </c>
      <c r="E67" s="2"/>
      <c r="F67" s="2" t="s">
        <v>9</v>
      </c>
      <c r="G67" s="2" t="s">
        <v>10</v>
      </c>
      <c r="H67" s="2" t="s">
        <v>41</v>
      </c>
    </row>
    <row r="68" spans="1:8" x14ac:dyDescent="0.3">
      <c r="A68" s="2" t="str">
        <f>HYPERLINK("https://hsdes.intel.com/resource/14013158717","14013158717")</f>
        <v>14013158717</v>
      </c>
      <c r="B68" s="2" t="s">
        <v>168</v>
      </c>
      <c r="C68" s="2" t="s">
        <v>167</v>
      </c>
      <c r="D68" s="6" t="s">
        <v>8</v>
      </c>
      <c r="E68" s="2"/>
      <c r="F68" s="2" t="s">
        <v>29</v>
      </c>
      <c r="G68" s="2" t="s">
        <v>52</v>
      </c>
      <c r="H68" s="2" t="s">
        <v>11</v>
      </c>
    </row>
    <row r="69" spans="1:8" x14ac:dyDescent="0.3">
      <c r="A69" s="2" t="str">
        <f>HYPERLINK("https://hsdes.intel.com/resource/14013158803","14013158803")</f>
        <v>14013158803</v>
      </c>
      <c r="B69" s="2" t="s">
        <v>170</v>
      </c>
      <c r="C69" s="2" t="s">
        <v>169</v>
      </c>
      <c r="D69" s="6" t="s">
        <v>8</v>
      </c>
      <c r="E69" s="2"/>
      <c r="F69" s="2" t="s">
        <v>9</v>
      </c>
      <c r="G69" s="2" t="s">
        <v>10</v>
      </c>
      <c r="H69" s="2" t="s">
        <v>11</v>
      </c>
    </row>
    <row r="70" spans="1:8" x14ac:dyDescent="0.3">
      <c r="A70" s="2" t="str">
        <f>HYPERLINK("https://hsdes.intel.com/resource/14013158813","14013158813")</f>
        <v>14013158813</v>
      </c>
      <c r="B70" s="2" t="s">
        <v>172</v>
      </c>
      <c r="C70" s="2" t="s">
        <v>171</v>
      </c>
      <c r="D70" s="6" t="s">
        <v>8</v>
      </c>
      <c r="E70" s="2"/>
      <c r="F70" s="2" t="s">
        <v>9</v>
      </c>
      <c r="G70" s="2" t="s">
        <v>10</v>
      </c>
      <c r="H70" s="2" t="s">
        <v>11</v>
      </c>
    </row>
    <row r="71" spans="1:8" x14ac:dyDescent="0.3">
      <c r="A71" s="2" t="str">
        <f>HYPERLINK("https://hsdes.intel.com/resource/14013159015","14013159015")</f>
        <v>14013159015</v>
      </c>
      <c r="B71" s="2" t="s">
        <v>174</v>
      </c>
      <c r="C71" s="2" t="s">
        <v>173</v>
      </c>
      <c r="D71" s="6" t="s">
        <v>8</v>
      </c>
      <c r="E71" s="2"/>
      <c r="F71" s="2" t="s">
        <v>21</v>
      </c>
      <c r="G71" s="2" t="s">
        <v>22</v>
      </c>
      <c r="H71" s="2" t="s">
        <v>16</v>
      </c>
    </row>
    <row r="72" spans="1:8" x14ac:dyDescent="0.3">
      <c r="A72" s="2" t="str">
        <f>HYPERLINK("https://hsdes.intel.com/resource/14013159021","14013159021")</f>
        <v>14013159021</v>
      </c>
      <c r="B72" s="2" t="s">
        <v>176</v>
      </c>
      <c r="C72" s="2" t="s">
        <v>175</v>
      </c>
      <c r="D72" s="6" t="s">
        <v>8</v>
      </c>
      <c r="E72" s="2"/>
      <c r="F72" s="2" t="s">
        <v>9</v>
      </c>
      <c r="G72" s="2" t="s">
        <v>10</v>
      </c>
      <c r="H72" s="2" t="s">
        <v>11</v>
      </c>
    </row>
    <row r="73" spans="1:8" x14ac:dyDescent="0.3">
      <c r="A73" s="2" t="str">
        <f>HYPERLINK("https://hsdes.intel.com/resource/14013159022","14013159022")</f>
        <v>14013159022</v>
      </c>
      <c r="B73" s="2" t="s">
        <v>178</v>
      </c>
      <c r="C73" s="2" t="s">
        <v>177</v>
      </c>
      <c r="D73" s="6" t="s">
        <v>8</v>
      </c>
      <c r="E73" s="2"/>
      <c r="F73" s="2" t="s">
        <v>9</v>
      </c>
      <c r="G73" s="2" t="s">
        <v>10</v>
      </c>
      <c r="H73" s="2" t="s">
        <v>41</v>
      </c>
    </row>
    <row r="74" spans="1:8" x14ac:dyDescent="0.3">
      <c r="A74" s="2" t="str">
        <f>HYPERLINK("https://hsdes.intel.com/resource/14013159024","14013159024")</f>
        <v>14013159024</v>
      </c>
      <c r="B74" s="2" t="s">
        <v>180</v>
      </c>
      <c r="C74" s="2" t="s">
        <v>179</v>
      </c>
      <c r="D74" s="6" t="s">
        <v>8</v>
      </c>
      <c r="E74" s="2"/>
      <c r="F74" s="2" t="s">
        <v>9</v>
      </c>
      <c r="G74" s="2" t="s">
        <v>10</v>
      </c>
      <c r="H74" s="2" t="s">
        <v>41</v>
      </c>
    </row>
    <row r="75" spans="1:8" x14ac:dyDescent="0.3">
      <c r="A75" s="2" t="str">
        <f>HYPERLINK("https://hsdes.intel.com/resource/14013159046","14013159046")</f>
        <v>14013159046</v>
      </c>
      <c r="B75" s="2" t="s">
        <v>182</v>
      </c>
      <c r="C75" s="2" t="s">
        <v>181</v>
      </c>
      <c r="D75" s="6" t="s">
        <v>8</v>
      </c>
      <c r="E75" s="2"/>
      <c r="F75" s="2" t="s">
        <v>135</v>
      </c>
      <c r="G75" s="2" t="s">
        <v>136</v>
      </c>
      <c r="H75" s="2" t="s">
        <v>16</v>
      </c>
    </row>
    <row r="76" spans="1:8" x14ac:dyDescent="0.3">
      <c r="A76" s="2" t="str">
        <f>HYPERLINK("https://hsdes.intel.com/resource/14013159052","14013159052")</f>
        <v>14013159052</v>
      </c>
      <c r="B76" s="2" t="s">
        <v>184</v>
      </c>
      <c r="C76" s="2" t="s">
        <v>183</v>
      </c>
      <c r="D76" s="6" t="s">
        <v>8</v>
      </c>
      <c r="E76" s="2"/>
      <c r="F76" s="2" t="s">
        <v>21</v>
      </c>
      <c r="G76" s="2" t="s">
        <v>22</v>
      </c>
      <c r="H76" s="2" t="s">
        <v>16</v>
      </c>
    </row>
    <row r="77" spans="1:8" x14ac:dyDescent="0.3">
      <c r="A77" s="2" t="str">
        <f>HYPERLINK("https://hsdes.intel.com/resource/14013159061","14013159061")</f>
        <v>14013159061</v>
      </c>
      <c r="B77" s="2" t="s">
        <v>186</v>
      </c>
      <c r="C77" s="2" t="s">
        <v>185</v>
      </c>
      <c r="D77" s="6" t="s">
        <v>8</v>
      </c>
      <c r="E77" s="2"/>
      <c r="F77" s="2" t="s">
        <v>21</v>
      </c>
      <c r="G77" s="2" t="s">
        <v>22</v>
      </c>
      <c r="H77" s="2" t="s">
        <v>16</v>
      </c>
    </row>
    <row r="78" spans="1:8" x14ac:dyDescent="0.3">
      <c r="A78" s="2" t="str">
        <f>HYPERLINK("https://hsdes.intel.com/resource/14013159090","14013159090")</f>
        <v>14013159090</v>
      </c>
      <c r="B78" s="2" t="s">
        <v>188</v>
      </c>
      <c r="C78" s="2" t="s">
        <v>187</v>
      </c>
      <c r="D78" s="6" t="s">
        <v>8</v>
      </c>
      <c r="E78" s="2"/>
      <c r="F78" s="2" t="s">
        <v>9</v>
      </c>
      <c r="G78" s="2" t="s">
        <v>10</v>
      </c>
      <c r="H78" s="2" t="s">
        <v>41</v>
      </c>
    </row>
    <row r="79" spans="1:8" x14ac:dyDescent="0.3">
      <c r="A79" s="2" t="str">
        <f>HYPERLINK("https://hsdes.intel.com/resource/14013159094","14013159094")</f>
        <v>14013159094</v>
      </c>
      <c r="B79" s="2" t="s">
        <v>190</v>
      </c>
      <c r="C79" s="2" t="s">
        <v>189</v>
      </c>
      <c r="D79" s="6" t="s">
        <v>8</v>
      </c>
      <c r="E79" s="2"/>
      <c r="F79" s="2" t="s">
        <v>9</v>
      </c>
      <c r="G79" s="2" t="s">
        <v>10</v>
      </c>
      <c r="H79" s="3">
        <v>44812</v>
      </c>
    </row>
    <row r="80" spans="1:8" x14ac:dyDescent="0.3">
      <c r="A80" s="2" t="str">
        <f>HYPERLINK("https://hsdes.intel.com/resource/14013159096","14013159096")</f>
        <v>14013159096</v>
      </c>
      <c r="B80" s="2" t="s">
        <v>192</v>
      </c>
      <c r="C80" s="2" t="s">
        <v>191</v>
      </c>
      <c r="D80" s="6" t="s">
        <v>8</v>
      </c>
      <c r="E80" s="2"/>
      <c r="F80" s="2" t="s">
        <v>21</v>
      </c>
      <c r="G80" s="2" t="s">
        <v>22</v>
      </c>
      <c r="H80" s="2" t="s">
        <v>16</v>
      </c>
    </row>
    <row r="81" spans="1:8" x14ac:dyDescent="0.3">
      <c r="A81" s="2" t="str">
        <f>HYPERLINK("https://hsdes.intel.com/resource/14013159127","14013159127")</f>
        <v>14013159127</v>
      </c>
      <c r="B81" s="2" t="s">
        <v>194</v>
      </c>
      <c r="C81" s="2" t="s">
        <v>193</v>
      </c>
      <c r="D81" s="6" t="s">
        <v>8</v>
      </c>
      <c r="E81" s="2"/>
      <c r="F81" s="2" t="s">
        <v>9</v>
      </c>
      <c r="G81" s="2" t="s">
        <v>10</v>
      </c>
      <c r="H81" s="2" t="s">
        <v>41</v>
      </c>
    </row>
    <row r="82" spans="1:8" x14ac:dyDescent="0.3">
      <c r="A82" s="2" t="str">
        <f>HYPERLINK("https://hsdes.intel.com/resource/14013159129","14013159129")</f>
        <v>14013159129</v>
      </c>
      <c r="B82" s="2" t="s">
        <v>196</v>
      </c>
      <c r="C82" s="2" t="s">
        <v>195</v>
      </c>
      <c r="D82" s="6" t="s">
        <v>8</v>
      </c>
      <c r="E82" s="2"/>
      <c r="F82" s="2" t="s">
        <v>9</v>
      </c>
      <c r="G82" s="2" t="s">
        <v>10</v>
      </c>
      <c r="H82" s="2" t="s">
        <v>41</v>
      </c>
    </row>
    <row r="83" spans="1:8" x14ac:dyDescent="0.3">
      <c r="A83" s="2" t="str">
        <f>HYPERLINK("https://hsdes.intel.com/resource/14013159248","14013159248")</f>
        <v>14013159248</v>
      </c>
      <c r="B83" s="2" t="s">
        <v>198</v>
      </c>
      <c r="C83" s="2" t="s">
        <v>197</v>
      </c>
      <c r="D83" s="6" t="s">
        <v>8</v>
      </c>
      <c r="E83" s="2"/>
      <c r="F83" s="2" t="s">
        <v>9</v>
      </c>
      <c r="G83" s="2" t="s">
        <v>10</v>
      </c>
      <c r="H83" s="2" t="s">
        <v>11</v>
      </c>
    </row>
    <row r="84" spans="1:8" x14ac:dyDescent="0.3">
      <c r="A84" s="2" t="str">
        <f>HYPERLINK("https://hsdes.intel.com/resource/14013159317","14013159317")</f>
        <v>14013159317</v>
      </c>
      <c r="B84" s="2" t="s">
        <v>200</v>
      </c>
      <c r="C84" s="2" t="s">
        <v>199</v>
      </c>
      <c r="D84" s="6" t="s">
        <v>8</v>
      </c>
      <c r="E84" s="2"/>
      <c r="F84" s="2" t="s">
        <v>25</v>
      </c>
      <c r="G84" s="2" t="s">
        <v>201</v>
      </c>
      <c r="H84" s="2" t="s">
        <v>16</v>
      </c>
    </row>
    <row r="85" spans="1:8" x14ac:dyDescent="0.3">
      <c r="A85" s="2" t="str">
        <f>HYPERLINK("https://hsdes.intel.com/resource/14013159842","14013159842")</f>
        <v>14013159842</v>
      </c>
      <c r="B85" s="2" t="s">
        <v>203</v>
      </c>
      <c r="C85" s="2" t="s">
        <v>202</v>
      </c>
      <c r="D85" s="6" t="s">
        <v>8</v>
      </c>
      <c r="E85" s="2"/>
      <c r="F85" s="2" t="s">
        <v>21</v>
      </c>
      <c r="G85" s="2" t="s">
        <v>22</v>
      </c>
      <c r="H85" s="2" t="s">
        <v>16</v>
      </c>
    </row>
    <row r="86" spans="1:8" x14ac:dyDescent="0.3">
      <c r="A86" s="2" t="str">
        <f>HYPERLINK("https://hsdes.intel.com/resource/14013159847","14013159847")</f>
        <v>14013159847</v>
      </c>
      <c r="B86" s="2" t="s">
        <v>205</v>
      </c>
      <c r="C86" s="2" t="s">
        <v>204</v>
      </c>
      <c r="D86" s="6" t="s">
        <v>8</v>
      </c>
      <c r="E86" s="2"/>
      <c r="F86" s="2" t="s">
        <v>21</v>
      </c>
      <c r="G86" s="2" t="s">
        <v>22</v>
      </c>
      <c r="H86" s="2" t="s">
        <v>16</v>
      </c>
    </row>
    <row r="87" spans="1:8" x14ac:dyDescent="0.3">
      <c r="A87" s="2" t="str">
        <f>HYPERLINK("https://hsdes.intel.com/resource/14013159992","14013159992")</f>
        <v>14013159992</v>
      </c>
      <c r="B87" s="2" t="s">
        <v>207</v>
      </c>
      <c r="C87" s="2" t="s">
        <v>206</v>
      </c>
      <c r="D87" s="6" t="s">
        <v>8</v>
      </c>
      <c r="E87" s="2"/>
      <c r="F87" s="2" t="s">
        <v>208</v>
      </c>
      <c r="G87" s="2" t="s">
        <v>209</v>
      </c>
      <c r="H87" s="2" t="s">
        <v>41</v>
      </c>
    </row>
    <row r="88" spans="1:8" x14ac:dyDescent="0.3">
      <c r="A88" s="2" t="str">
        <f>HYPERLINK("https://hsdes.intel.com/resource/14013160085","14013160085")</f>
        <v>14013160085</v>
      </c>
      <c r="B88" s="2" t="s">
        <v>211</v>
      </c>
      <c r="C88" s="2" t="s">
        <v>210</v>
      </c>
      <c r="D88" s="6" t="s">
        <v>8</v>
      </c>
      <c r="E88" s="2"/>
      <c r="F88" s="2" t="s">
        <v>33</v>
      </c>
      <c r="G88" s="2" t="s">
        <v>155</v>
      </c>
      <c r="H88" s="2" t="s">
        <v>16</v>
      </c>
    </row>
    <row r="89" spans="1:8" x14ac:dyDescent="0.3">
      <c r="A89" s="2" t="str">
        <f>HYPERLINK("https://hsdes.intel.com/resource/14013160097","14013160097")</f>
        <v>14013160097</v>
      </c>
      <c r="B89" s="2" t="s">
        <v>213</v>
      </c>
      <c r="C89" s="2" t="s">
        <v>212</v>
      </c>
      <c r="D89" s="6" t="s">
        <v>8</v>
      </c>
      <c r="E89" s="2"/>
      <c r="F89" s="2" t="s">
        <v>135</v>
      </c>
      <c r="G89" s="2" t="s">
        <v>136</v>
      </c>
      <c r="H89" s="2" t="s">
        <v>16</v>
      </c>
    </row>
    <row r="90" spans="1:8" x14ac:dyDescent="0.3">
      <c r="A90" s="2" t="str">
        <f>HYPERLINK("https://hsdes.intel.com/resource/14013160109","14013160109")</f>
        <v>14013160109</v>
      </c>
      <c r="B90" s="2" t="s">
        <v>215</v>
      </c>
      <c r="C90" s="2" t="s">
        <v>214</v>
      </c>
      <c r="D90" s="6" t="s">
        <v>8</v>
      </c>
      <c r="E90" s="2"/>
      <c r="F90" s="2" t="s">
        <v>62</v>
      </c>
      <c r="G90" s="2" t="s">
        <v>63</v>
      </c>
      <c r="H90" s="2" t="s">
        <v>16</v>
      </c>
    </row>
    <row r="91" spans="1:8" x14ac:dyDescent="0.3">
      <c r="A91" s="2" t="str">
        <f>HYPERLINK("https://hsdes.intel.com/resource/14013160244","14013160244")</f>
        <v>14013160244</v>
      </c>
      <c r="B91" s="2" t="s">
        <v>217</v>
      </c>
      <c r="C91" s="2" t="s">
        <v>216</v>
      </c>
      <c r="D91" s="6" t="s">
        <v>8</v>
      </c>
      <c r="E91" s="2"/>
      <c r="F91" s="2" t="s">
        <v>62</v>
      </c>
      <c r="G91" s="2" t="s">
        <v>63</v>
      </c>
      <c r="H91" s="2" t="s">
        <v>16</v>
      </c>
    </row>
    <row r="92" spans="1:8" x14ac:dyDescent="0.3">
      <c r="A92" s="2" t="str">
        <f>HYPERLINK("https://hsdes.intel.com/resource/14013160249","14013160249")</f>
        <v>14013160249</v>
      </c>
      <c r="B92" s="2" t="s">
        <v>219</v>
      </c>
      <c r="C92" s="2" t="s">
        <v>218</v>
      </c>
      <c r="D92" s="6" t="s">
        <v>8</v>
      </c>
      <c r="E92" s="2"/>
      <c r="F92" s="2" t="s">
        <v>62</v>
      </c>
      <c r="G92" s="2" t="s">
        <v>63</v>
      </c>
      <c r="H92" s="2" t="s">
        <v>11</v>
      </c>
    </row>
    <row r="93" spans="1:8" x14ac:dyDescent="0.3">
      <c r="A93" s="2" t="str">
        <f>HYPERLINK("https://hsdes.intel.com/resource/14013160438","14013160438")</f>
        <v>14013160438</v>
      </c>
      <c r="B93" s="2" t="s">
        <v>221</v>
      </c>
      <c r="C93" s="2" t="s">
        <v>220</v>
      </c>
      <c r="D93" s="6" t="s">
        <v>8</v>
      </c>
      <c r="E93" s="2"/>
      <c r="F93" s="2" t="s">
        <v>208</v>
      </c>
      <c r="G93" s="2" t="s">
        <v>209</v>
      </c>
      <c r="H93" s="2" t="s">
        <v>11</v>
      </c>
    </row>
    <row r="94" spans="1:8" x14ac:dyDescent="0.3">
      <c r="A94" s="2" t="str">
        <f>HYPERLINK("https://hsdes.intel.com/resource/14013160446","14013160446")</f>
        <v>14013160446</v>
      </c>
      <c r="B94" s="2" t="s">
        <v>223</v>
      </c>
      <c r="C94" s="2" t="s">
        <v>222</v>
      </c>
      <c r="D94" s="6" t="s">
        <v>8</v>
      </c>
      <c r="E94" s="2"/>
      <c r="F94" s="2" t="s">
        <v>208</v>
      </c>
      <c r="G94" s="2" t="s">
        <v>209</v>
      </c>
      <c r="H94" s="2" t="s">
        <v>11</v>
      </c>
    </row>
    <row r="95" spans="1:8" x14ac:dyDescent="0.3">
      <c r="A95" s="2" t="str">
        <f>HYPERLINK("https://hsdes.intel.com/resource/14013160449","14013160449")</f>
        <v>14013160449</v>
      </c>
      <c r="B95" s="2" t="s">
        <v>225</v>
      </c>
      <c r="C95" s="2" t="s">
        <v>224</v>
      </c>
      <c r="D95" s="6" t="s">
        <v>8</v>
      </c>
      <c r="E95" s="2"/>
      <c r="F95" s="2" t="s">
        <v>21</v>
      </c>
      <c r="G95" s="2" t="s">
        <v>22</v>
      </c>
      <c r="H95" s="2" t="s">
        <v>16</v>
      </c>
    </row>
    <row r="96" spans="1:8" x14ac:dyDescent="0.3">
      <c r="A96" s="2" t="str">
        <f>HYPERLINK("https://hsdes.intel.com/resource/14013160451","14013160451")</f>
        <v>14013160451</v>
      </c>
      <c r="B96" s="2" t="s">
        <v>227</v>
      </c>
      <c r="C96" s="2" t="s">
        <v>226</v>
      </c>
      <c r="D96" s="6" t="s">
        <v>8</v>
      </c>
      <c r="E96" s="2"/>
      <c r="F96" s="2" t="s">
        <v>21</v>
      </c>
      <c r="G96" s="2" t="s">
        <v>22</v>
      </c>
      <c r="H96" s="2" t="s">
        <v>16</v>
      </c>
    </row>
    <row r="97" spans="1:8" x14ac:dyDescent="0.3">
      <c r="A97" s="2" t="str">
        <f>HYPERLINK("https://hsdes.intel.com/resource/14013160473","14013160473")</f>
        <v>14013160473</v>
      </c>
      <c r="B97" s="2" t="s">
        <v>229</v>
      </c>
      <c r="C97" s="2" t="s">
        <v>228</v>
      </c>
      <c r="D97" s="6" t="s">
        <v>8</v>
      </c>
      <c r="E97" s="2"/>
      <c r="F97" s="2" t="s">
        <v>21</v>
      </c>
      <c r="G97" s="2" t="s">
        <v>22</v>
      </c>
      <c r="H97" s="2" t="s">
        <v>16</v>
      </c>
    </row>
    <row r="98" spans="1:8" x14ac:dyDescent="0.3">
      <c r="A98" s="2" t="str">
        <f>HYPERLINK("https://hsdes.intel.com/resource/14013160568","14013160568")</f>
        <v>14013160568</v>
      </c>
      <c r="B98" s="2" t="s">
        <v>231</v>
      </c>
      <c r="C98" s="2" t="s">
        <v>230</v>
      </c>
      <c r="D98" s="6" t="s">
        <v>8</v>
      </c>
      <c r="E98" s="2"/>
      <c r="F98" s="2" t="s">
        <v>9</v>
      </c>
      <c r="G98" s="2" t="s">
        <v>10</v>
      </c>
      <c r="H98" s="2" t="s">
        <v>16</v>
      </c>
    </row>
    <row r="99" spans="1:8" x14ac:dyDescent="0.3">
      <c r="A99" s="2" t="str">
        <f>HYPERLINK("https://hsdes.intel.com/resource/14013160571","14013160571")</f>
        <v>14013160571</v>
      </c>
      <c r="B99" s="2" t="s">
        <v>233</v>
      </c>
      <c r="C99" s="2" t="s">
        <v>232</v>
      </c>
      <c r="D99" s="6" t="s">
        <v>8</v>
      </c>
      <c r="E99" s="2"/>
      <c r="F99" s="2" t="s">
        <v>9</v>
      </c>
      <c r="G99" s="2" t="s">
        <v>10</v>
      </c>
      <c r="H99" s="2" t="s">
        <v>11</v>
      </c>
    </row>
    <row r="100" spans="1:8" x14ac:dyDescent="0.3">
      <c r="A100" s="2" t="str">
        <f>HYPERLINK("https://hsdes.intel.com/resource/14013160613","14013160613")</f>
        <v>14013160613</v>
      </c>
      <c r="B100" s="2" t="s">
        <v>235</v>
      </c>
      <c r="C100" s="2" t="s">
        <v>234</v>
      </c>
      <c r="D100" s="6" t="s">
        <v>8</v>
      </c>
      <c r="E100" s="2"/>
      <c r="F100" s="2" t="s">
        <v>135</v>
      </c>
      <c r="G100" s="2" t="s">
        <v>136</v>
      </c>
      <c r="H100" s="2" t="s">
        <v>16</v>
      </c>
    </row>
    <row r="101" spans="1:8" x14ac:dyDescent="0.3">
      <c r="A101" s="2" t="str">
        <f>HYPERLINK("https://hsdes.intel.com/resource/14013160614","14013160614")</f>
        <v>14013160614</v>
      </c>
      <c r="B101" s="2" t="s">
        <v>237</v>
      </c>
      <c r="C101" s="2" t="s">
        <v>236</v>
      </c>
      <c r="D101" s="6" t="s">
        <v>8</v>
      </c>
      <c r="E101" s="2"/>
      <c r="F101" s="2" t="s">
        <v>135</v>
      </c>
      <c r="G101" s="2" t="s">
        <v>136</v>
      </c>
      <c r="H101" s="2" t="s">
        <v>16</v>
      </c>
    </row>
    <row r="102" spans="1:8" x14ac:dyDescent="0.3">
      <c r="A102" s="2" t="str">
        <f>HYPERLINK("https://hsdes.intel.com/resource/14013160620","14013160620")</f>
        <v>14013160620</v>
      </c>
      <c r="B102" s="2" t="s">
        <v>239</v>
      </c>
      <c r="C102" s="2" t="s">
        <v>238</v>
      </c>
      <c r="D102" s="6" t="s">
        <v>8</v>
      </c>
      <c r="E102" s="2"/>
      <c r="F102" s="2" t="s">
        <v>135</v>
      </c>
      <c r="G102" s="2" t="s">
        <v>136</v>
      </c>
      <c r="H102" s="2" t="s">
        <v>16</v>
      </c>
    </row>
    <row r="103" spans="1:8" x14ac:dyDescent="0.3">
      <c r="A103" s="2" t="str">
        <f>HYPERLINK("https://hsdes.intel.com/resource/14013160631","14013160631")</f>
        <v>14013160631</v>
      </c>
      <c r="B103" s="2" t="s">
        <v>241</v>
      </c>
      <c r="C103" s="2" t="s">
        <v>240</v>
      </c>
      <c r="D103" s="6" t="s">
        <v>8</v>
      </c>
      <c r="E103" s="2"/>
      <c r="F103" s="2" t="s">
        <v>135</v>
      </c>
      <c r="G103" s="2" t="s">
        <v>136</v>
      </c>
      <c r="H103" s="2" t="s">
        <v>16</v>
      </c>
    </row>
    <row r="104" spans="1:8" x14ac:dyDescent="0.3">
      <c r="A104" s="2" t="str">
        <f>HYPERLINK("https://hsdes.intel.com/resource/14013160689","14013160689")</f>
        <v>14013160689</v>
      </c>
      <c r="B104" s="2" t="s">
        <v>243</v>
      </c>
      <c r="C104" s="2" t="s">
        <v>242</v>
      </c>
      <c r="D104" s="6" t="s">
        <v>8</v>
      </c>
      <c r="E104" s="2"/>
      <c r="F104" s="2" t="s">
        <v>135</v>
      </c>
      <c r="G104" s="2" t="s">
        <v>136</v>
      </c>
      <c r="H104" s="2" t="s">
        <v>11</v>
      </c>
    </row>
    <row r="105" spans="1:8" x14ac:dyDescent="0.3">
      <c r="A105" s="2" t="str">
        <f>HYPERLINK("https://hsdes.intel.com/resource/14013160694","14013160694")</f>
        <v>14013160694</v>
      </c>
      <c r="B105" s="2" t="s">
        <v>245</v>
      </c>
      <c r="C105" s="2" t="s">
        <v>244</v>
      </c>
      <c r="D105" s="6" t="s">
        <v>8</v>
      </c>
      <c r="E105" s="2"/>
      <c r="F105" s="2" t="s">
        <v>25</v>
      </c>
      <c r="G105" s="2" t="s">
        <v>26</v>
      </c>
      <c r="H105" s="2" t="s">
        <v>16</v>
      </c>
    </row>
    <row r="106" spans="1:8" x14ac:dyDescent="0.3">
      <c r="A106" s="2" t="str">
        <f>HYPERLINK("https://hsdes.intel.com/resource/14013160697","14013160697")</f>
        <v>14013160697</v>
      </c>
      <c r="B106" s="2" t="s">
        <v>247</v>
      </c>
      <c r="C106" s="2" t="s">
        <v>246</v>
      </c>
      <c r="D106" s="6" t="s">
        <v>8</v>
      </c>
      <c r="E106" s="2"/>
      <c r="F106" s="2" t="s">
        <v>25</v>
      </c>
      <c r="G106" s="2" t="s">
        <v>26</v>
      </c>
      <c r="H106" s="2" t="s">
        <v>16</v>
      </c>
    </row>
    <row r="107" spans="1:8" x14ac:dyDescent="0.3">
      <c r="A107" s="2" t="str">
        <f>HYPERLINK("https://hsdes.intel.com/resource/14013160698","14013160698")</f>
        <v>14013160698</v>
      </c>
      <c r="B107" s="2" t="s">
        <v>249</v>
      </c>
      <c r="C107" s="2" t="s">
        <v>248</v>
      </c>
      <c r="D107" s="6" t="s">
        <v>8</v>
      </c>
      <c r="E107" s="2"/>
      <c r="F107" s="2" t="s">
        <v>25</v>
      </c>
      <c r="G107" s="2" t="s">
        <v>26</v>
      </c>
      <c r="H107" s="2" t="s">
        <v>16</v>
      </c>
    </row>
    <row r="108" spans="1:8" x14ac:dyDescent="0.3">
      <c r="A108" s="2" t="str">
        <f>HYPERLINK("https://hsdes.intel.com/resource/14013160707","14013160707")</f>
        <v>14013160707</v>
      </c>
      <c r="B108" s="2" t="s">
        <v>251</v>
      </c>
      <c r="C108" s="2" t="s">
        <v>250</v>
      </c>
      <c r="D108" s="6" t="s">
        <v>8</v>
      </c>
      <c r="E108" s="2"/>
      <c r="F108" s="2" t="s">
        <v>135</v>
      </c>
      <c r="G108" s="2" t="s">
        <v>136</v>
      </c>
      <c r="H108" s="2" t="s">
        <v>16</v>
      </c>
    </row>
    <row r="109" spans="1:8" x14ac:dyDescent="0.3">
      <c r="A109" s="2" t="str">
        <f>HYPERLINK("https://hsdes.intel.com/resource/14013160712","14013160712")</f>
        <v>14013160712</v>
      </c>
      <c r="B109" s="2" t="s">
        <v>253</v>
      </c>
      <c r="C109" s="2" t="s">
        <v>252</v>
      </c>
      <c r="D109" s="6" t="s">
        <v>8</v>
      </c>
      <c r="E109" s="2"/>
      <c r="F109" s="2" t="s">
        <v>25</v>
      </c>
      <c r="G109" s="2" t="s">
        <v>201</v>
      </c>
      <c r="H109" s="2" t="s">
        <v>16</v>
      </c>
    </row>
    <row r="110" spans="1:8" x14ac:dyDescent="0.3">
      <c r="A110" s="2" t="str">
        <f>HYPERLINK("https://hsdes.intel.com/resource/14013160713","14013160713")</f>
        <v>14013160713</v>
      </c>
      <c r="B110" s="2" t="s">
        <v>255</v>
      </c>
      <c r="C110" s="2" t="s">
        <v>254</v>
      </c>
      <c r="D110" s="6" t="s">
        <v>8</v>
      </c>
      <c r="E110" s="2"/>
      <c r="F110" s="2" t="s">
        <v>25</v>
      </c>
      <c r="G110" s="2" t="s">
        <v>26</v>
      </c>
      <c r="H110" s="2" t="s">
        <v>16</v>
      </c>
    </row>
    <row r="111" spans="1:8" x14ac:dyDescent="0.3">
      <c r="A111" s="2" t="str">
        <f>HYPERLINK("https://hsdes.intel.com/resource/14013160745","14013160745")</f>
        <v>14013160745</v>
      </c>
      <c r="B111" s="2" t="s">
        <v>257</v>
      </c>
      <c r="C111" s="2" t="s">
        <v>256</v>
      </c>
      <c r="D111" s="6" t="s">
        <v>8</v>
      </c>
      <c r="E111" s="2"/>
      <c r="F111" s="2" t="s">
        <v>29</v>
      </c>
      <c r="G111" s="2" t="s">
        <v>30</v>
      </c>
      <c r="H111" s="2" t="s">
        <v>16</v>
      </c>
    </row>
    <row r="112" spans="1:8" x14ac:dyDescent="0.3">
      <c r="A112" s="2" t="str">
        <f>HYPERLINK("https://hsdes.intel.com/resource/14013160756","14013160756")</f>
        <v>14013160756</v>
      </c>
      <c r="B112" s="2" t="s">
        <v>259</v>
      </c>
      <c r="C112" s="2" t="s">
        <v>258</v>
      </c>
      <c r="D112" s="6" t="s">
        <v>8</v>
      </c>
      <c r="E112" s="2"/>
      <c r="F112" s="2" t="s">
        <v>9</v>
      </c>
      <c r="G112" s="2" t="s">
        <v>10</v>
      </c>
      <c r="H112" s="2" t="s">
        <v>16</v>
      </c>
    </row>
    <row r="113" spans="1:8" x14ac:dyDescent="0.3">
      <c r="A113" s="2" t="str">
        <f>HYPERLINK("https://hsdes.intel.com/resource/14013160760","14013160760")</f>
        <v>14013160760</v>
      </c>
      <c r="B113" s="2" t="s">
        <v>261</v>
      </c>
      <c r="C113" s="2" t="s">
        <v>260</v>
      </c>
      <c r="D113" s="6" t="s">
        <v>8</v>
      </c>
      <c r="E113" s="2"/>
      <c r="F113" s="2" t="s">
        <v>9</v>
      </c>
      <c r="G113" s="2" t="s">
        <v>10</v>
      </c>
      <c r="H113" s="2" t="s">
        <v>11</v>
      </c>
    </row>
    <row r="114" spans="1:8" x14ac:dyDescent="0.3">
      <c r="A114" s="2" t="str">
        <f>HYPERLINK("https://hsdes.intel.com/resource/14013160780","14013160780")</f>
        <v>14013160780</v>
      </c>
      <c r="B114" s="2" t="s">
        <v>263</v>
      </c>
      <c r="C114" s="2" t="s">
        <v>262</v>
      </c>
      <c r="D114" s="6" t="s">
        <v>8</v>
      </c>
      <c r="E114" s="2"/>
      <c r="F114" s="2" t="s">
        <v>55</v>
      </c>
      <c r="G114" s="2" t="s">
        <v>264</v>
      </c>
      <c r="H114" s="2" t="s">
        <v>16</v>
      </c>
    </row>
    <row r="115" spans="1:8" x14ac:dyDescent="0.3">
      <c r="A115" s="2" t="str">
        <f>HYPERLINK("https://hsdes.intel.com/resource/14013160880","14013160880")</f>
        <v>14013160880</v>
      </c>
      <c r="B115" s="2" t="s">
        <v>266</v>
      </c>
      <c r="C115" s="2" t="s">
        <v>265</v>
      </c>
      <c r="D115" s="6" t="s">
        <v>8</v>
      </c>
      <c r="E115" s="2"/>
      <c r="F115" s="2" t="s">
        <v>135</v>
      </c>
      <c r="G115" s="2" t="s">
        <v>136</v>
      </c>
      <c r="H115" s="2" t="s">
        <v>16</v>
      </c>
    </row>
    <row r="116" spans="1:8" x14ac:dyDescent="0.3">
      <c r="A116" s="2" t="str">
        <f>HYPERLINK("https://hsdes.intel.com/resource/14013160910","14013160910")</f>
        <v>14013160910</v>
      </c>
      <c r="B116" s="2" t="s">
        <v>268</v>
      </c>
      <c r="C116" s="2" t="s">
        <v>267</v>
      </c>
      <c r="D116" s="6" t="s">
        <v>8</v>
      </c>
      <c r="E116" s="2"/>
      <c r="F116" s="2" t="s">
        <v>9</v>
      </c>
      <c r="G116" s="2" t="s">
        <v>10</v>
      </c>
      <c r="H116" s="2" t="s">
        <v>16</v>
      </c>
    </row>
    <row r="117" spans="1:8" x14ac:dyDescent="0.3">
      <c r="A117" s="2" t="str">
        <f>HYPERLINK("https://hsdes.intel.com/resource/14013160932","14013160932")</f>
        <v>14013160932</v>
      </c>
      <c r="B117" s="2" t="s">
        <v>270</v>
      </c>
      <c r="C117" s="2" t="s">
        <v>269</v>
      </c>
      <c r="D117" s="6" t="s">
        <v>8</v>
      </c>
      <c r="E117" s="2"/>
      <c r="F117" s="2" t="s">
        <v>208</v>
      </c>
      <c r="G117" s="2" t="s">
        <v>209</v>
      </c>
      <c r="H117" s="2" t="s">
        <v>11</v>
      </c>
    </row>
    <row r="118" spans="1:8" x14ac:dyDescent="0.3">
      <c r="A118" s="2" t="str">
        <f>HYPERLINK("https://hsdes.intel.com/resource/14013161085","14013161085")</f>
        <v>14013161085</v>
      </c>
      <c r="B118" s="2" t="s">
        <v>272</v>
      </c>
      <c r="C118" s="2" t="s">
        <v>271</v>
      </c>
      <c r="D118" s="6" t="s">
        <v>8</v>
      </c>
      <c r="E118" s="2"/>
      <c r="F118" s="2" t="s">
        <v>33</v>
      </c>
      <c r="G118" s="2" t="s">
        <v>155</v>
      </c>
      <c r="H118" s="2" t="s">
        <v>16</v>
      </c>
    </row>
    <row r="119" spans="1:8" x14ac:dyDescent="0.3">
      <c r="A119" s="2" t="str">
        <f>HYPERLINK("https://hsdes.intel.com/resource/14013161111","14013161111")</f>
        <v>14013161111</v>
      </c>
      <c r="B119" s="2" t="s">
        <v>274</v>
      </c>
      <c r="C119" s="2" t="s">
        <v>273</v>
      </c>
      <c r="D119" s="6" t="s">
        <v>8</v>
      </c>
      <c r="E119" s="2"/>
      <c r="F119" s="2" t="s">
        <v>33</v>
      </c>
      <c r="G119" s="2" t="s">
        <v>155</v>
      </c>
      <c r="H119" s="2" t="s">
        <v>16</v>
      </c>
    </row>
    <row r="120" spans="1:8" x14ac:dyDescent="0.3">
      <c r="A120" s="2" t="str">
        <f>HYPERLINK("https://hsdes.intel.com/resource/14013161139","14013161139")</f>
        <v>14013161139</v>
      </c>
      <c r="B120" s="2" t="s">
        <v>276</v>
      </c>
      <c r="C120" s="2" t="s">
        <v>275</v>
      </c>
      <c r="D120" s="6" t="s">
        <v>8</v>
      </c>
      <c r="E120" s="2"/>
      <c r="F120" s="2" t="s">
        <v>62</v>
      </c>
      <c r="G120" s="2" t="s">
        <v>63</v>
      </c>
      <c r="H120" s="2" t="s">
        <v>11</v>
      </c>
    </row>
    <row r="121" spans="1:8" x14ac:dyDescent="0.3">
      <c r="A121" s="2" t="str">
        <f>HYPERLINK("https://hsdes.intel.com/resource/14013161178","14013161178")</f>
        <v>14013161178</v>
      </c>
      <c r="B121" s="2" t="s">
        <v>278</v>
      </c>
      <c r="C121" s="2" t="s">
        <v>277</v>
      </c>
      <c r="D121" s="6" t="s">
        <v>8</v>
      </c>
      <c r="E121" s="2"/>
      <c r="F121" s="2" t="s">
        <v>21</v>
      </c>
      <c r="G121" s="2" t="s">
        <v>22</v>
      </c>
      <c r="H121" s="2" t="s">
        <v>16</v>
      </c>
    </row>
    <row r="122" spans="1:8" x14ac:dyDescent="0.3">
      <c r="A122" s="2" t="str">
        <f>HYPERLINK("https://hsdes.intel.com/resource/14013161197","14013161197")</f>
        <v>14013161197</v>
      </c>
      <c r="B122" s="2" t="s">
        <v>280</v>
      </c>
      <c r="C122" s="2" t="s">
        <v>279</v>
      </c>
      <c r="D122" s="6" t="s">
        <v>8</v>
      </c>
      <c r="E122" s="2"/>
      <c r="F122" s="2" t="s">
        <v>135</v>
      </c>
      <c r="G122" s="2" t="s">
        <v>136</v>
      </c>
      <c r="H122" s="2" t="s">
        <v>11</v>
      </c>
    </row>
    <row r="123" spans="1:8" x14ac:dyDescent="0.3">
      <c r="A123" s="2" t="str">
        <f>HYPERLINK("https://hsdes.intel.com/resource/14013161200","14013161200")</f>
        <v>14013161200</v>
      </c>
      <c r="B123" s="2" t="s">
        <v>282</v>
      </c>
      <c r="C123" s="2" t="s">
        <v>281</v>
      </c>
      <c r="D123" s="6" t="s">
        <v>8</v>
      </c>
      <c r="E123" s="2"/>
      <c r="F123" s="2" t="s">
        <v>135</v>
      </c>
      <c r="G123" s="2" t="s">
        <v>136</v>
      </c>
      <c r="H123" s="2" t="s">
        <v>11</v>
      </c>
    </row>
    <row r="124" spans="1:8" x14ac:dyDescent="0.3">
      <c r="A124" s="2" t="str">
        <f>HYPERLINK("https://hsdes.intel.com/resource/14013161203","14013161203")</f>
        <v>14013161203</v>
      </c>
      <c r="B124" s="2" t="s">
        <v>284</v>
      </c>
      <c r="C124" s="2" t="s">
        <v>283</v>
      </c>
      <c r="D124" s="6" t="s">
        <v>8</v>
      </c>
      <c r="E124" s="2"/>
      <c r="F124" s="2" t="s">
        <v>135</v>
      </c>
      <c r="G124" s="2" t="s">
        <v>136</v>
      </c>
      <c r="H124" s="2" t="s">
        <v>11</v>
      </c>
    </row>
    <row r="125" spans="1:8" x14ac:dyDescent="0.3">
      <c r="A125" s="2" t="str">
        <f>HYPERLINK("https://hsdes.intel.com/resource/14013161204","14013161204")</f>
        <v>14013161204</v>
      </c>
      <c r="B125" s="2" t="s">
        <v>286</v>
      </c>
      <c r="C125" s="2" t="s">
        <v>285</v>
      </c>
      <c r="D125" s="6" t="s">
        <v>8</v>
      </c>
      <c r="E125" s="2"/>
      <c r="F125" s="2" t="s">
        <v>135</v>
      </c>
      <c r="G125" s="2" t="s">
        <v>136</v>
      </c>
      <c r="H125" s="2" t="s">
        <v>11</v>
      </c>
    </row>
    <row r="126" spans="1:8" x14ac:dyDescent="0.3">
      <c r="A126" s="2" t="str">
        <f>HYPERLINK("https://hsdes.intel.com/resource/14013161284","14013161284")</f>
        <v>14013161284</v>
      </c>
      <c r="B126" s="2" t="s">
        <v>288</v>
      </c>
      <c r="C126" s="2" t="s">
        <v>287</v>
      </c>
      <c r="D126" s="6" t="s">
        <v>8</v>
      </c>
      <c r="E126" s="2"/>
      <c r="F126" s="2" t="s">
        <v>135</v>
      </c>
      <c r="G126" s="2" t="s">
        <v>136</v>
      </c>
      <c r="H126" s="2" t="s">
        <v>16</v>
      </c>
    </row>
    <row r="127" spans="1:8" x14ac:dyDescent="0.3">
      <c r="A127" s="2" t="str">
        <f>HYPERLINK("https://hsdes.intel.com/resource/14013161288","14013161288")</f>
        <v>14013161288</v>
      </c>
      <c r="B127" s="2" t="s">
        <v>290</v>
      </c>
      <c r="C127" s="2" t="s">
        <v>289</v>
      </c>
      <c r="D127" s="6" t="s">
        <v>8</v>
      </c>
      <c r="E127" s="2"/>
      <c r="F127" s="2" t="s">
        <v>135</v>
      </c>
      <c r="G127" s="2" t="s">
        <v>136</v>
      </c>
      <c r="H127" s="2" t="s">
        <v>16</v>
      </c>
    </row>
    <row r="128" spans="1:8" x14ac:dyDescent="0.3">
      <c r="A128" s="2" t="str">
        <f>HYPERLINK("https://hsdes.intel.com/resource/14013161300","14013161300")</f>
        <v>14013161300</v>
      </c>
      <c r="B128" s="2" t="s">
        <v>292</v>
      </c>
      <c r="C128" s="2" t="s">
        <v>291</v>
      </c>
      <c r="D128" s="6" t="s">
        <v>8</v>
      </c>
      <c r="E128" s="2"/>
      <c r="F128" s="2" t="s">
        <v>37</v>
      </c>
      <c r="G128" s="2" t="s">
        <v>98</v>
      </c>
      <c r="H128" s="2" t="s">
        <v>16</v>
      </c>
    </row>
    <row r="129" spans="1:8" x14ac:dyDescent="0.3">
      <c r="A129" s="2" t="str">
        <f>HYPERLINK("https://hsdes.intel.com/resource/14013161304","14013161304")</f>
        <v>14013161304</v>
      </c>
      <c r="B129" s="2" t="s">
        <v>294</v>
      </c>
      <c r="C129" s="2" t="s">
        <v>293</v>
      </c>
      <c r="D129" s="6" t="s">
        <v>8</v>
      </c>
      <c r="E129" s="2"/>
      <c r="F129" s="2" t="s">
        <v>37</v>
      </c>
      <c r="G129" s="2" t="s">
        <v>98</v>
      </c>
      <c r="H129" s="2" t="s">
        <v>16</v>
      </c>
    </row>
    <row r="130" spans="1:8" x14ac:dyDescent="0.3">
      <c r="A130" s="2" t="str">
        <f>HYPERLINK("https://hsdes.intel.com/resource/14013161309","14013161309")</f>
        <v>14013161309</v>
      </c>
      <c r="B130" s="2" t="s">
        <v>296</v>
      </c>
      <c r="C130" s="2" t="s">
        <v>295</v>
      </c>
      <c r="D130" s="6" t="s">
        <v>8</v>
      </c>
      <c r="E130" s="2"/>
      <c r="F130" s="2" t="s">
        <v>29</v>
      </c>
      <c r="G130" s="2" t="s">
        <v>30</v>
      </c>
      <c r="H130" s="2" t="s">
        <v>11</v>
      </c>
    </row>
    <row r="131" spans="1:8" x14ac:dyDescent="0.3">
      <c r="A131" s="2" t="str">
        <f>HYPERLINK("https://hsdes.intel.com/resource/14013161312","14013161312")</f>
        <v>14013161312</v>
      </c>
      <c r="B131" s="2" t="s">
        <v>298</v>
      </c>
      <c r="C131" s="2" t="s">
        <v>297</v>
      </c>
      <c r="D131" s="6" t="s">
        <v>8</v>
      </c>
      <c r="E131" s="2"/>
      <c r="F131" s="2" t="s">
        <v>21</v>
      </c>
      <c r="G131" s="2" t="s">
        <v>22</v>
      </c>
      <c r="H131" s="2" t="s">
        <v>16</v>
      </c>
    </row>
    <row r="132" spans="1:8" x14ac:dyDescent="0.3">
      <c r="A132" s="2" t="str">
        <f>HYPERLINK("https://hsdes.intel.com/resource/14013161592","14013161592")</f>
        <v>14013161592</v>
      </c>
      <c r="B132" s="2" t="s">
        <v>300</v>
      </c>
      <c r="C132" s="2" t="s">
        <v>299</v>
      </c>
      <c r="D132" s="6" t="s">
        <v>8</v>
      </c>
      <c r="E132" s="2"/>
      <c r="F132" s="2" t="s">
        <v>14</v>
      </c>
      <c r="G132" s="2" t="s">
        <v>15</v>
      </c>
      <c r="H132" s="2" t="s">
        <v>16</v>
      </c>
    </row>
    <row r="133" spans="1:8" x14ac:dyDescent="0.3">
      <c r="A133" s="2" t="str">
        <f>HYPERLINK("https://hsdes.intel.com/resource/14013161602","14013161602")</f>
        <v>14013161602</v>
      </c>
      <c r="B133" s="2" t="s">
        <v>302</v>
      </c>
      <c r="C133" s="2" t="s">
        <v>301</v>
      </c>
      <c r="D133" s="6" t="s">
        <v>8</v>
      </c>
      <c r="E133" s="2"/>
      <c r="F133" s="2" t="s">
        <v>21</v>
      </c>
      <c r="G133" s="2" t="s">
        <v>22</v>
      </c>
      <c r="H133" s="2" t="s">
        <v>11</v>
      </c>
    </row>
    <row r="134" spans="1:8" x14ac:dyDescent="0.3">
      <c r="A134" s="2" t="str">
        <f>HYPERLINK("https://hsdes.intel.com/resource/14013161623","14013161623")</f>
        <v>14013161623</v>
      </c>
      <c r="B134" s="2" t="s">
        <v>304</v>
      </c>
      <c r="C134" s="2" t="s">
        <v>303</v>
      </c>
      <c r="D134" s="6" t="s">
        <v>8</v>
      </c>
      <c r="E134" s="2"/>
      <c r="F134" s="2" t="s">
        <v>135</v>
      </c>
      <c r="G134" s="2" t="s">
        <v>136</v>
      </c>
      <c r="H134" s="2" t="s">
        <v>16</v>
      </c>
    </row>
    <row r="135" spans="1:8" x14ac:dyDescent="0.3">
      <c r="A135" s="2" t="str">
        <f>HYPERLINK("https://hsdes.intel.com/resource/14013161629","14013161629")</f>
        <v>14013161629</v>
      </c>
      <c r="B135" s="2" t="s">
        <v>306</v>
      </c>
      <c r="C135" s="2" t="s">
        <v>305</v>
      </c>
      <c r="D135" s="6" t="s">
        <v>8</v>
      </c>
      <c r="E135" s="2"/>
      <c r="F135" s="2" t="s">
        <v>135</v>
      </c>
      <c r="G135" s="2" t="s">
        <v>136</v>
      </c>
      <c r="H135" s="2" t="s">
        <v>16</v>
      </c>
    </row>
    <row r="136" spans="1:8" x14ac:dyDescent="0.3">
      <c r="A136" s="2" t="str">
        <f>HYPERLINK("https://hsdes.intel.com/resource/14013161630","14013161630")</f>
        <v>14013161630</v>
      </c>
      <c r="B136" s="2" t="s">
        <v>308</v>
      </c>
      <c r="C136" s="2" t="s">
        <v>307</v>
      </c>
      <c r="D136" s="6" t="s">
        <v>8</v>
      </c>
      <c r="E136" s="2"/>
      <c r="F136" s="2" t="s">
        <v>135</v>
      </c>
      <c r="G136" s="2" t="s">
        <v>136</v>
      </c>
      <c r="H136" s="2" t="s">
        <v>16</v>
      </c>
    </row>
    <row r="137" spans="1:8" x14ac:dyDescent="0.3">
      <c r="A137" s="2" t="str">
        <f>HYPERLINK("https://hsdes.intel.com/resource/14013161633","14013161633")</f>
        <v>14013161633</v>
      </c>
      <c r="B137" s="2" t="s">
        <v>310</v>
      </c>
      <c r="C137" s="2" t="s">
        <v>309</v>
      </c>
      <c r="D137" s="6" t="s">
        <v>8</v>
      </c>
      <c r="E137" s="2"/>
      <c r="F137" s="2" t="s">
        <v>135</v>
      </c>
      <c r="G137" s="2" t="s">
        <v>136</v>
      </c>
      <c r="H137" s="2" t="s">
        <v>11</v>
      </c>
    </row>
    <row r="138" spans="1:8" x14ac:dyDescent="0.3">
      <c r="A138" s="2" t="str">
        <f>HYPERLINK("https://hsdes.intel.com/resource/14013161693","14013161693")</f>
        <v>14013161693</v>
      </c>
      <c r="B138" s="2" t="s">
        <v>312</v>
      </c>
      <c r="C138" s="2" t="s">
        <v>311</v>
      </c>
      <c r="D138" s="6" t="s">
        <v>8</v>
      </c>
      <c r="E138" s="2"/>
      <c r="F138" s="2" t="s">
        <v>135</v>
      </c>
      <c r="G138" s="2" t="s">
        <v>136</v>
      </c>
      <c r="H138" s="2" t="s">
        <v>16</v>
      </c>
    </row>
    <row r="139" spans="1:8" x14ac:dyDescent="0.3">
      <c r="A139" s="2" t="str">
        <f>HYPERLINK("https://hsdes.intel.com/resource/14013161731","14013161731")</f>
        <v>14013161731</v>
      </c>
      <c r="B139" s="2" t="s">
        <v>314</v>
      </c>
      <c r="C139" s="2" t="s">
        <v>313</v>
      </c>
      <c r="D139" s="6" t="s">
        <v>8</v>
      </c>
      <c r="E139" s="2"/>
      <c r="F139" s="2" t="s">
        <v>135</v>
      </c>
      <c r="G139" s="2" t="s">
        <v>136</v>
      </c>
      <c r="H139" s="2" t="s">
        <v>16</v>
      </c>
    </row>
    <row r="140" spans="1:8" x14ac:dyDescent="0.3">
      <c r="A140" s="2" t="str">
        <f>HYPERLINK("https://hsdes.intel.com/resource/14013161809","14013161809")</f>
        <v>14013161809</v>
      </c>
      <c r="B140" s="2" t="s">
        <v>316</v>
      </c>
      <c r="C140" s="2" t="s">
        <v>315</v>
      </c>
      <c r="D140" s="7" t="s">
        <v>88</v>
      </c>
      <c r="E140" s="2" t="s">
        <v>317</v>
      </c>
      <c r="F140" s="2" t="s">
        <v>135</v>
      </c>
      <c r="G140" s="2" t="s">
        <v>136</v>
      </c>
      <c r="H140" s="2" t="s">
        <v>41</v>
      </c>
    </row>
    <row r="141" spans="1:8" x14ac:dyDescent="0.3">
      <c r="A141" s="2" t="str">
        <f>HYPERLINK("https://hsdes.intel.com/resource/14013161879","14013161879")</f>
        <v>14013161879</v>
      </c>
      <c r="B141" s="2" t="s">
        <v>319</v>
      </c>
      <c r="C141" s="2" t="s">
        <v>318</v>
      </c>
      <c r="D141" s="6" t="s">
        <v>8</v>
      </c>
      <c r="E141" s="2"/>
      <c r="F141" s="2" t="s">
        <v>9</v>
      </c>
      <c r="G141" s="2" t="s">
        <v>10</v>
      </c>
      <c r="H141" s="2" t="s">
        <v>11</v>
      </c>
    </row>
    <row r="142" spans="1:8" x14ac:dyDescent="0.3">
      <c r="A142" s="2" t="str">
        <f>HYPERLINK("https://hsdes.intel.com/resource/14013161931","14013161931")</f>
        <v>14013161931</v>
      </c>
      <c r="B142" s="2" t="s">
        <v>321</v>
      </c>
      <c r="C142" s="2" t="s">
        <v>320</v>
      </c>
      <c r="D142" s="6" t="s">
        <v>8</v>
      </c>
      <c r="E142" s="2"/>
      <c r="F142" s="2" t="s">
        <v>158</v>
      </c>
      <c r="G142" s="2" t="s">
        <v>38</v>
      </c>
      <c r="H142" s="2" t="s">
        <v>16</v>
      </c>
    </row>
    <row r="143" spans="1:8" x14ac:dyDescent="0.3">
      <c r="A143" s="2" t="str">
        <f>HYPERLINK("https://hsdes.intel.com/resource/14013161969","14013161969")</f>
        <v>14013161969</v>
      </c>
      <c r="B143" s="2" t="s">
        <v>323</v>
      </c>
      <c r="C143" s="2" t="s">
        <v>322</v>
      </c>
      <c r="D143" s="6" t="s">
        <v>8</v>
      </c>
      <c r="E143" s="2"/>
      <c r="F143" s="2" t="s">
        <v>14</v>
      </c>
      <c r="G143" s="2" t="s">
        <v>15</v>
      </c>
      <c r="H143" s="2" t="s">
        <v>16</v>
      </c>
    </row>
    <row r="144" spans="1:8" x14ac:dyDescent="0.3">
      <c r="A144" s="2" t="str">
        <f>HYPERLINK("https://hsdes.intel.com/resource/14013162175","14013162175")</f>
        <v>14013162175</v>
      </c>
      <c r="B144" s="2" t="s">
        <v>325</v>
      </c>
      <c r="C144" s="2" t="s">
        <v>324</v>
      </c>
      <c r="D144" s="6" t="s">
        <v>8</v>
      </c>
      <c r="E144" s="2"/>
      <c r="F144" s="2" t="s">
        <v>29</v>
      </c>
      <c r="G144" s="2" t="s">
        <v>30</v>
      </c>
      <c r="H144" s="2" t="s">
        <v>16</v>
      </c>
    </row>
    <row r="145" spans="1:8" x14ac:dyDescent="0.3">
      <c r="A145" s="2" t="str">
        <f>HYPERLINK("https://hsdes.intel.com/resource/14013162385","14013162385")</f>
        <v>14013162385</v>
      </c>
      <c r="B145" s="2" t="s">
        <v>327</v>
      </c>
      <c r="C145" s="2" t="s">
        <v>326</v>
      </c>
      <c r="D145" s="6" t="s">
        <v>8</v>
      </c>
      <c r="E145" s="2"/>
      <c r="F145" s="2" t="s">
        <v>135</v>
      </c>
      <c r="G145" s="2" t="s">
        <v>136</v>
      </c>
      <c r="H145" s="2" t="s">
        <v>11</v>
      </c>
    </row>
    <row r="146" spans="1:8" x14ac:dyDescent="0.3">
      <c r="A146" s="2" t="str">
        <f>HYPERLINK("https://hsdes.intel.com/resource/14013162406","14013162406")</f>
        <v>14013162406</v>
      </c>
      <c r="B146" s="2" t="s">
        <v>329</v>
      </c>
      <c r="C146" s="2" t="s">
        <v>328</v>
      </c>
      <c r="D146" s="6" t="s">
        <v>8</v>
      </c>
      <c r="E146" s="2"/>
      <c r="F146" s="2" t="s">
        <v>135</v>
      </c>
      <c r="G146" s="2" t="s">
        <v>136</v>
      </c>
      <c r="H146" s="2" t="s">
        <v>16</v>
      </c>
    </row>
    <row r="147" spans="1:8" x14ac:dyDescent="0.3">
      <c r="A147" s="2" t="str">
        <f>HYPERLINK("https://hsdes.intel.com/resource/14013162416","14013162416")</f>
        <v>14013162416</v>
      </c>
      <c r="B147" s="2" t="s">
        <v>331</v>
      </c>
      <c r="C147" s="2" t="s">
        <v>330</v>
      </c>
      <c r="D147" s="6" t="s">
        <v>8</v>
      </c>
      <c r="E147" s="2"/>
      <c r="F147" s="2" t="s">
        <v>135</v>
      </c>
      <c r="G147" s="2" t="s">
        <v>136</v>
      </c>
      <c r="H147" s="2" t="s">
        <v>16</v>
      </c>
    </row>
    <row r="148" spans="1:8" x14ac:dyDescent="0.3">
      <c r="A148" s="2" t="str">
        <f>HYPERLINK("https://hsdes.intel.com/resource/14013162422","14013162422")</f>
        <v>14013162422</v>
      </c>
      <c r="B148" s="2" t="s">
        <v>333</v>
      </c>
      <c r="C148" s="2" t="s">
        <v>332</v>
      </c>
      <c r="D148" s="6" t="s">
        <v>8</v>
      </c>
      <c r="E148" s="2"/>
      <c r="F148" s="2" t="s">
        <v>135</v>
      </c>
      <c r="G148" s="2" t="s">
        <v>136</v>
      </c>
      <c r="H148" s="2" t="s">
        <v>16</v>
      </c>
    </row>
    <row r="149" spans="1:8" x14ac:dyDescent="0.3">
      <c r="A149" s="2" t="str">
        <f>HYPERLINK("https://hsdes.intel.com/resource/14013162431","14013162431")</f>
        <v>14013162431</v>
      </c>
      <c r="B149" s="2" t="s">
        <v>335</v>
      </c>
      <c r="C149" s="2" t="s">
        <v>334</v>
      </c>
      <c r="D149" s="6" t="s">
        <v>8</v>
      </c>
      <c r="E149" s="2"/>
      <c r="F149" s="2" t="s">
        <v>135</v>
      </c>
      <c r="G149" s="2" t="s">
        <v>136</v>
      </c>
      <c r="H149" s="2" t="s">
        <v>16</v>
      </c>
    </row>
    <row r="150" spans="1:8" x14ac:dyDescent="0.3">
      <c r="A150" s="2" t="str">
        <f>HYPERLINK("https://hsdes.intel.com/resource/14013162433","14013162433")</f>
        <v>14013162433</v>
      </c>
      <c r="B150" s="2" t="s">
        <v>337</v>
      </c>
      <c r="C150" s="2" t="s">
        <v>336</v>
      </c>
      <c r="D150" s="6" t="s">
        <v>8</v>
      </c>
      <c r="E150" s="2"/>
      <c r="F150" s="2" t="s">
        <v>135</v>
      </c>
      <c r="G150" s="2" t="s">
        <v>136</v>
      </c>
      <c r="H150" s="2" t="s">
        <v>16</v>
      </c>
    </row>
    <row r="151" spans="1:8" x14ac:dyDescent="0.3">
      <c r="A151" s="2" t="str">
        <f>HYPERLINK("https://hsdes.intel.com/resource/14013162499","14013162499")</f>
        <v>14013162499</v>
      </c>
      <c r="B151" s="2" t="s">
        <v>339</v>
      </c>
      <c r="C151" s="2" t="s">
        <v>338</v>
      </c>
      <c r="D151" s="6" t="s">
        <v>8</v>
      </c>
      <c r="E151" s="2"/>
      <c r="F151" s="2" t="s">
        <v>158</v>
      </c>
      <c r="G151" s="2" t="s">
        <v>38</v>
      </c>
      <c r="H151" s="2" t="s">
        <v>16</v>
      </c>
    </row>
    <row r="152" spans="1:8" x14ac:dyDescent="0.3">
      <c r="A152" s="2" t="str">
        <f>HYPERLINK("https://hsdes.intel.com/resource/14013162512","14013162512")</f>
        <v>14013162512</v>
      </c>
      <c r="B152" s="2" t="s">
        <v>341</v>
      </c>
      <c r="C152" s="2" t="s">
        <v>340</v>
      </c>
      <c r="D152" s="6" t="s">
        <v>8</v>
      </c>
      <c r="E152" s="2"/>
      <c r="F152" s="2" t="s">
        <v>158</v>
      </c>
      <c r="G152" s="2" t="s">
        <v>38</v>
      </c>
      <c r="H152" s="2" t="s">
        <v>16</v>
      </c>
    </row>
    <row r="153" spans="1:8" x14ac:dyDescent="0.3">
      <c r="A153" s="2" t="str">
        <f>HYPERLINK("https://hsdes.intel.com/resource/14013162538","14013162538")</f>
        <v>14013162538</v>
      </c>
      <c r="B153" s="2" t="s">
        <v>343</v>
      </c>
      <c r="C153" s="2" t="s">
        <v>342</v>
      </c>
      <c r="D153" s="6" t="s">
        <v>8</v>
      </c>
      <c r="E153" s="2"/>
      <c r="F153" s="2" t="s">
        <v>37</v>
      </c>
      <c r="G153" s="2" t="s">
        <v>10</v>
      </c>
      <c r="H153" s="2" t="s">
        <v>16</v>
      </c>
    </row>
    <row r="154" spans="1:8" x14ac:dyDescent="0.3">
      <c r="A154" s="2" t="str">
        <f>HYPERLINK("https://hsdes.intel.com/resource/14013162548","14013162548")</f>
        <v>14013162548</v>
      </c>
      <c r="B154" s="2" t="s">
        <v>345</v>
      </c>
      <c r="C154" s="2" t="s">
        <v>344</v>
      </c>
      <c r="D154" s="6" t="s">
        <v>8</v>
      </c>
      <c r="E154" s="2"/>
      <c r="F154" s="2" t="s">
        <v>62</v>
      </c>
      <c r="G154" s="2" t="s">
        <v>63</v>
      </c>
      <c r="H154" s="2" t="s">
        <v>16</v>
      </c>
    </row>
    <row r="155" spans="1:8" x14ac:dyDescent="0.3">
      <c r="A155" s="2" t="str">
        <f>HYPERLINK("https://hsdes.intel.com/resource/14013162551","14013162551")</f>
        <v>14013162551</v>
      </c>
      <c r="B155" s="2" t="s">
        <v>347</v>
      </c>
      <c r="C155" s="2" t="s">
        <v>346</v>
      </c>
      <c r="D155" s="6" t="s">
        <v>8</v>
      </c>
      <c r="E155" s="2"/>
      <c r="F155" s="2" t="s">
        <v>62</v>
      </c>
      <c r="G155" s="2" t="s">
        <v>63</v>
      </c>
      <c r="H155" s="2" t="s">
        <v>16</v>
      </c>
    </row>
    <row r="156" spans="1:8" x14ac:dyDescent="0.3">
      <c r="A156" s="2" t="str">
        <f>HYPERLINK("https://hsdes.intel.com/resource/14013162577","14013162577")</f>
        <v>14013162577</v>
      </c>
      <c r="B156" s="2" t="s">
        <v>349</v>
      </c>
      <c r="C156" s="2" t="s">
        <v>348</v>
      </c>
      <c r="D156" s="7" t="s">
        <v>88</v>
      </c>
      <c r="E156" s="2" t="s">
        <v>317</v>
      </c>
      <c r="F156" s="2" t="s">
        <v>158</v>
      </c>
      <c r="G156" s="2" t="s">
        <v>38</v>
      </c>
      <c r="H156" s="2" t="s">
        <v>16</v>
      </c>
    </row>
    <row r="157" spans="1:8" x14ac:dyDescent="0.3">
      <c r="A157" s="2" t="str">
        <f>HYPERLINK("https://hsdes.intel.com/resource/14013162764","14013162764")</f>
        <v>14013162764</v>
      </c>
      <c r="B157" s="2" t="s">
        <v>351</v>
      </c>
      <c r="C157" s="2" t="s">
        <v>350</v>
      </c>
      <c r="D157" s="6" t="s">
        <v>8</v>
      </c>
      <c r="E157" s="2"/>
      <c r="F157" s="2" t="s">
        <v>21</v>
      </c>
      <c r="G157" s="2" t="s">
        <v>22</v>
      </c>
      <c r="H157" s="2" t="s">
        <v>16</v>
      </c>
    </row>
    <row r="158" spans="1:8" x14ac:dyDescent="0.3">
      <c r="A158" s="2" t="str">
        <f>HYPERLINK("https://hsdes.intel.com/resource/14013162847","14013162847")</f>
        <v>14013162847</v>
      </c>
      <c r="B158" s="2" t="s">
        <v>353</v>
      </c>
      <c r="C158" s="2" t="s">
        <v>352</v>
      </c>
      <c r="D158" s="6" t="s">
        <v>8</v>
      </c>
      <c r="E158" s="2"/>
      <c r="F158" s="2" t="s">
        <v>9</v>
      </c>
      <c r="G158" s="2" t="s">
        <v>10</v>
      </c>
      <c r="H158" s="2" t="s">
        <v>41</v>
      </c>
    </row>
    <row r="159" spans="1:8" x14ac:dyDescent="0.3">
      <c r="A159" s="2" t="str">
        <f>HYPERLINK("https://hsdes.intel.com/resource/14013162852","14013162852")</f>
        <v>14013162852</v>
      </c>
      <c r="B159" s="2" t="s">
        <v>355</v>
      </c>
      <c r="C159" s="2" t="s">
        <v>354</v>
      </c>
      <c r="D159" s="6" t="s">
        <v>8</v>
      </c>
      <c r="E159" s="2"/>
      <c r="F159" s="2" t="s">
        <v>21</v>
      </c>
      <c r="G159" s="2" t="s">
        <v>22</v>
      </c>
      <c r="H159" s="2" t="s">
        <v>16</v>
      </c>
    </row>
    <row r="160" spans="1:8" x14ac:dyDescent="0.3">
      <c r="A160" s="2" t="str">
        <f>HYPERLINK("https://hsdes.intel.com/resource/14013162869","14013162869")</f>
        <v>14013162869</v>
      </c>
      <c r="B160" s="2" t="s">
        <v>357</v>
      </c>
      <c r="C160" s="2" t="s">
        <v>356</v>
      </c>
      <c r="D160" s="6" t="s">
        <v>8</v>
      </c>
      <c r="E160" s="2"/>
      <c r="F160" s="2" t="s">
        <v>37</v>
      </c>
      <c r="G160" s="2" t="s">
        <v>98</v>
      </c>
      <c r="H160" s="2" t="s">
        <v>16</v>
      </c>
    </row>
    <row r="161" spans="1:8" x14ac:dyDescent="0.3">
      <c r="A161" s="2" t="str">
        <f>HYPERLINK("https://hsdes.intel.com/resource/14013163063","14013163063")</f>
        <v>14013163063</v>
      </c>
      <c r="B161" s="2" t="s">
        <v>359</v>
      </c>
      <c r="C161" s="2" t="s">
        <v>358</v>
      </c>
      <c r="D161" s="6" t="s">
        <v>8</v>
      </c>
      <c r="E161" s="2"/>
      <c r="F161" s="2" t="s">
        <v>9</v>
      </c>
      <c r="G161" s="2" t="s">
        <v>10</v>
      </c>
      <c r="H161" s="2" t="s">
        <v>41</v>
      </c>
    </row>
    <row r="162" spans="1:8" x14ac:dyDescent="0.3">
      <c r="A162" s="2" t="str">
        <f>HYPERLINK("https://hsdes.intel.com/resource/14013163067","14013163067")</f>
        <v>14013163067</v>
      </c>
      <c r="B162" s="2" t="s">
        <v>361</v>
      </c>
      <c r="C162" s="2" t="s">
        <v>360</v>
      </c>
      <c r="D162" s="6" t="s">
        <v>8</v>
      </c>
      <c r="E162" s="2"/>
      <c r="F162" s="2" t="s">
        <v>9</v>
      </c>
      <c r="G162" s="2" t="s">
        <v>10</v>
      </c>
      <c r="H162" s="2" t="s">
        <v>11</v>
      </c>
    </row>
    <row r="163" spans="1:8" x14ac:dyDescent="0.3">
      <c r="A163" s="2" t="str">
        <f>HYPERLINK("https://hsdes.intel.com/resource/14013163080","14013163080")</f>
        <v>14013163080</v>
      </c>
      <c r="B163" s="2" t="s">
        <v>363</v>
      </c>
      <c r="C163" s="2" t="s">
        <v>362</v>
      </c>
      <c r="D163" s="6" t="s">
        <v>8</v>
      </c>
      <c r="E163" s="2"/>
      <c r="F163" s="2" t="s">
        <v>29</v>
      </c>
      <c r="G163" s="2" t="s">
        <v>52</v>
      </c>
      <c r="H163" s="2" t="s">
        <v>41</v>
      </c>
    </row>
    <row r="164" spans="1:8" x14ac:dyDescent="0.3">
      <c r="A164" s="2" t="str">
        <f>HYPERLINK("https://hsdes.intel.com/resource/14013163150","14013163150")</f>
        <v>14013163150</v>
      </c>
      <c r="B164" s="2" t="s">
        <v>365</v>
      </c>
      <c r="C164" s="2" t="s">
        <v>364</v>
      </c>
      <c r="D164" s="6" t="s">
        <v>8</v>
      </c>
      <c r="E164" s="2"/>
      <c r="F164" s="2" t="s">
        <v>9</v>
      </c>
      <c r="G164" s="2" t="s">
        <v>10</v>
      </c>
      <c r="H164" s="2" t="s">
        <v>41</v>
      </c>
    </row>
    <row r="165" spans="1:8" x14ac:dyDescent="0.3">
      <c r="A165" s="2" t="str">
        <f>HYPERLINK("https://hsdes.intel.com/resource/14013163162","14013163162")</f>
        <v>14013163162</v>
      </c>
      <c r="B165" s="2" t="s">
        <v>367</v>
      </c>
      <c r="C165" s="2" t="s">
        <v>366</v>
      </c>
      <c r="D165" s="6" t="s">
        <v>8</v>
      </c>
      <c r="E165" s="2"/>
      <c r="F165" s="2" t="s">
        <v>158</v>
      </c>
      <c r="G165" s="2" t="s">
        <v>38</v>
      </c>
      <c r="H165" s="2" t="s">
        <v>11</v>
      </c>
    </row>
    <row r="166" spans="1:8" x14ac:dyDescent="0.3">
      <c r="A166" s="2" t="str">
        <f>HYPERLINK("https://hsdes.intel.com/resource/14013163191","14013163191")</f>
        <v>14013163191</v>
      </c>
      <c r="B166" s="2" t="s">
        <v>369</v>
      </c>
      <c r="C166" s="2" t="s">
        <v>368</v>
      </c>
      <c r="D166" s="6" t="s">
        <v>8</v>
      </c>
      <c r="E166" s="2"/>
      <c r="F166" s="2" t="s">
        <v>9</v>
      </c>
      <c r="G166" s="2" t="s">
        <v>10</v>
      </c>
      <c r="H166" s="2" t="s">
        <v>16</v>
      </c>
    </row>
    <row r="167" spans="1:8" x14ac:dyDescent="0.3">
      <c r="A167" s="2" t="str">
        <f>HYPERLINK("https://hsdes.intel.com/resource/14013163199","14013163199")</f>
        <v>14013163199</v>
      </c>
      <c r="B167" s="2" t="s">
        <v>371</v>
      </c>
      <c r="C167" s="2" t="s">
        <v>370</v>
      </c>
      <c r="D167" s="6" t="s">
        <v>8</v>
      </c>
      <c r="E167" s="2"/>
      <c r="F167" s="2" t="s">
        <v>62</v>
      </c>
      <c r="G167" s="2" t="s">
        <v>63</v>
      </c>
      <c r="H167" s="2" t="s">
        <v>16</v>
      </c>
    </row>
    <row r="168" spans="1:8" x14ac:dyDescent="0.3">
      <c r="A168" s="2" t="str">
        <f>HYPERLINK("https://hsdes.intel.com/resource/14013163226","14013163226")</f>
        <v>14013163226</v>
      </c>
      <c r="B168" s="2" t="s">
        <v>373</v>
      </c>
      <c r="C168" s="2" t="s">
        <v>372</v>
      </c>
      <c r="D168" s="6" t="s">
        <v>8</v>
      </c>
      <c r="E168" s="2"/>
      <c r="F168" s="2" t="s">
        <v>9</v>
      </c>
      <c r="G168" s="2" t="s">
        <v>10</v>
      </c>
      <c r="H168" s="2" t="s">
        <v>11</v>
      </c>
    </row>
    <row r="169" spans="1:8" x14ac:dyDescent="0.3">
      <c r="A169" s="4" t="str">
        <f>HYPERLINK("https://hsdes.intel.com/resource/14013163230","14013163230")</f>
        <v>14013163230</v>
      </c>
      <c r="B169" s="2" t="s">
        <v>374</v>
      </c>
      <c r="C169" s="2" t="s">
        <v>6</v>
      </c>
      <c r="D169" s="6" t="s">
        <v>8</v>
      </c>
      <c r="E169" s="2"/>
      <c r="F169" s="2" t="s">
        <v>9</v>
      </c>
      <c r="G169" s="2" t="s">
        <v>10</v>
      </c>
      <c r="H169" s="2" t="s">
        <v>11</v>
      </c>
    </row>
    <row r="170" spans="1:8" x14ac:dyDescent="0.3">
      <c r="A170" s="2" t="str">
        <f>HYPERLINK("https://hsdes.intel.com/resource/14013163232","14013163232")</f>
        <v>14013163232</v>
      </c>
      <c r="B170" s="2" t="s">
        <v>376</v>
      </c>
      <c r="C170" s="2" t="s">
        <v>375</v>
      </c>
      <c r="D170" s="6" t="s">
        <v>8</v>
      </c>
      <c r="E170" s="2"/>
      <c r="F170" s="2" t="s">
        <v>9</v>
      </c>
      <c r="G170" s="2" t="s">
        <v>10</v>
      </c>
      <c r="H170" s="2" t="s">
        <v>11</v>
      </c>
    </row>
    <row r="171" spans="1:8" x14ac:dyDescent="0.3">
      <c r="A171" s="2" t="str">
        <f>HYPERLINK("https://hsdes.intel.com/resource/14013163281","14013163281")</f>
        <v>14013163281</v>
      </c>
      <c r="B171" s="2" t="s">
        <v>378</v>
      </c>
      <c r="C171" s="2" t="s">
        <v>377</v>
      </c>
      <c r="D171" s="6" t="s">
        <v>8</v>
      </c>
      <c r="E171" s="2"/>
      <c r="F171" s="2" t="s">
        <v>9</v>
      </c>
      <c r="G171" s="2" t="s">
        <v>10</v>
      </c>
      <c r="H171" s="2" t="s">
        <v>16</v>
      </c>
    </row>
    <row r="172" spans="1:8" x14ac:dyDescent="0.3">
      <c r="A172" s="4" t="str">
        <f>HYPERLINK("https://hsdes.intel.com/resource/14013163289","14013163289")</f>
        <v>14013163289</v>
      </c>
      <c r="B172" s="2" t="s">
        <v>380</v>
      </c>
      <c r="C172" s="2" t="s">
        <v>379</v>
      </c>
      <c r="D172" s="6" t="s">
        <v>8</v>
      </c>
      <c r="E172" s="2"/>
      <c r="F172" s="2" t="s">
        <v>9</v>
      </c>
      <c r="G172" s="2" t="s">
        <v>10</v>
      </c>
      <c r="H172" s="2" t="s">
        <v>11</v>
      </c>
    </row>
    <row r="173" spans="1:8" x14ac:dyDescent="0.3">
      <c r="A173" s="2" t="str">
        <f>HYPERLINK("https://hsdes.intel.com/resource/14013163310","14013163310")</f>
        <v>14013163310</v>
      </c>
      <c r="B173" s="2" t="s">
        <v>382</v>
      </c>
      <c r="C173" s="2" t="s">
        <v>381</v>
      </c>
      <c r="D173" s="6" t="s">
        <v>8</v>
      </c>
      <c r="E173" s="2"/>
      <c r="F173" s="2" t="s">
        <v>21</v>
      </c>
      <c r="G173" s="2" t="s">
        <v>22</v>
      </c>
      <c r="H173" s="2" t="s">
        <v>16</v>
      </c>
    </row>
    <row r="174" spans="1:8" x14ac:dyDescent="0.3">
      <c r="A174" s="2">
        <v>14013163315</v>
      </c>
      <c r="B174" s="2" t="s">
        <v>384</v>
      </c>
      <c r="C174" s="2" t="s">
        <v>383</v>
      </c>
      <c r="D174" s="6" t="s">
        <v>8</v>
      </c>
      <c r="E174" s="2"/>
      <c r="F174" s="2" t="s">
        <v>9</v>
      </c>
      <c r="G174" s="2" t="s">
        <v>10</v>
      </c>
      <c r="H174" s="2" t="s">
        <v>11</v>
      </c>
    </row>
    <row r="175" spans="1:8" x14ac:dyDescent="0.3">
      <c r="A175" s="2" t="str">
        <f>HYPERLINK("https://hsdes.intel.com/resource/14013163332","14013163332")</f>
        <v>14013163332</v>
      </c>
      <c r="B175" s="2" t="s">
        <v>386</v>
      </c>
      <c r="C175" s="2" t="s">
        <v>385</v>
      </c>
      <c r="D175" s="6" t="s">
        <v>8</v>
      </c>
      <c r="E175" s="2"/>
      <c r="F175" s="2" t="s">
        <v>9</v>
      </c>
      <c r="G175" s="2" t="s">
        <v>10</v>
      </c>
      <c r="H175" s="2" t="s">
        <v>41</v>
      </c>
    </row>
    <row r="176" spans="1:8" x14ac:dyDescent="0.3">
      <c r="A176" s="2" t="str">
        <f>HYPERLINK("https://hsdes.intel.com/resource/14013163339","14013163339")</f>
        <v>14013163339</v>
      </c>
      <c r="B176" s="2" t="s">
        <v>388</v>
      </c>
      <c r="C176" s="2" t="s">
        <v>387</v>
      </c>
      <c r="D176" s="6" t="s">
        <v>8</v>
      </c>
      <c r="E176" s="2"/>
      <c r="F176" s="2" t="s">
        <v>9</v>
      </c>
      <c r="G176" s="2" t="s">
        <v>10</v>
      </c>
      <c r="H176" s="2" t="s">
        <v>11</v>
      </c>
    </row>
    <row r="177" spans="1:8" x14ac:dyDescent="0.3">
      <c r="A177" s="4" t="str">
        <f>HYPERLINK("https://hsdes.intel.com/resource/14013163359","14013163359")</f>
        <v>14013163359</v>
      </c>
      <c r="B177" s="2" t="s">
        <v>390</v>
      </c>
      <c r="C177" s="2" t="s">
        <v>389</v>
      </c>
      <c r="D177" s="6" t="s">
        <v>8</v>
      </c>
      <c r="E177" s="2"/>
      <c r="F177" s="2" t="s">
        <v>9</v>
      </c>
      <c r="G177" s="2" t="s">
        <v>10</v>
      </c>
      <c r="H177" s="2" t="s">
        <v>11</v>
      </c>
    </row>
    <row r="178" spans="1:8" x14ac:dyDescent="0.3">
      <c r="A178" s="2" t="str">
        <f>HYPERLINK("https://hsdes.intel.com/resource/14013163371","14013163371")</f>
        <v>14013163371</v>
      </c>
      <c r="B178" s="2" t="s">
        <v>392</v>
      </c>
      <c r="C178" s="2" t="s">
        <v>391</v>
      </c>
      <c r="D178" s="6" t="s">
        <v>8</v>
      </c>
      <c r="E178" s="2"/>
      <c r="F178" s="2" t="s">
        <v>9</v>
      </c>
      <c r="G178" s="2" t="s">
        <v>10</v>
      </c>
      <c r="H178" s="2" t="s">
        <v>11</v>
      </c>
    </row>
    <row r="179" spans="1:8" x14ac:dyDescent="0.3">
      <c r="A179" s="2" t="str">
        <f>HYPERLINK("https://hsdes.intel.com/resource/14013163390","14013163390")</f>
        <v>14013163390</v>
      </c>
      <c r="B179" s="2" t="s">
        <v>394</v>
      </c>
      <c r="C179" s="2" t="s">
        <v>393</v>
      </c>
      <c r="D179" s="6" t="s">
        <v>8</v>
      </c>
      <c r="E179" s="2"/>
      <c r="F179" s="2" t="s">
        <v>9</v>
      </c>
      <c r="G179" s="2" t="s">
        <v>10</v>
      </c>
      <c r="H179" s="2" t="s">
        <v>41</v>
      </c>
    </row>
    <row r="180" spans="1:8" x14ac:dyDescent="0.3">
      <c r="A180" s="2" t="str">
        <f>HYPERLINK("https://hsdes.intel.com/resource/14013163393","14013163393")</f>
        <v>14013163393</v>
      </c>
      <c r="B180" s="2" t="s">
        <v>396</v>
      </c>
      <c r="C180" s="2" t="s">
        <v>395</v>
      </c>
      <c r="D180" s="6" t="s">
        <v>8</v>
      </c>
      <c r="E180" s="2"/>
      <c r="F180" s="2" t="s">
        <v>9</v>
      </c>
      <c r="G180" s="2" t="s">
        <v>10</v>
      </c>
      <c r="H180" s="2" t="s">
        <v>11</v>
      </c>
    </row>
    <row r="181" spans="1:8" x14ac:dyDescent="0.3">
      <c r="A181" s="2" t="str">
        <f>HYPERLINK("https://hsdes.intel.com/resource/14013163402","14013163402")</f>
        <v>14013163402</v>
      </c>
      <c r="B181" s="2" t="s">
        <v>398</v>
      </c>
      <c r="C181" s="2" t="s">
        <v>397</v>
      </c>
      <c r="D181" s="6" t="s">
        <v>8</v>
      </c>
      <c r="E181" s="2"/>
      <c r="F181" s="2" t="s">
        <v>9</v>
      </c>
      <c r="G181" s="2" t="s">
        <v>10</v>
      </c>
      <c r="H181" s="2" t="s">
        <v>16</v>
      </c>
    </row>
    <row r="182" spans="1:8" x14ac:dyDescent="0.3">
      <c r="A182" s="2" t="str">
        <f>HYPERLINK("https://hsdes.intel.com/resource/14013163415","14013163415")</f>
        <v>14013163415</v>
      </c>
      <c r="B182" s="2" t="s">
        <v>400</v>
      </c>
      <c r="C182" s="2" t="s">
        <v>399</v>
      </c>
      <c r="D182" s="6" t="s">
        <v>8</v>
      </c>
      <c r="E182" s="2"/>
      <c r="F182" s="2" t="s">
        <v>9</v>
      </c>
      <c r="G182" s="2" t="s">
        <v>10</v>
      </c>
      <c r="H182" s="2" t="s">
        <v>11</v>
      </c>
    </row>
    <row r="183" spans="1:8" x14ac:dyDescent="0.3">
      <c r="A183" s="2" t="str">
        <f>HYPERLINK("https://hsdes.intel.com/resource/14013163425","14013163425")</f>
        <v>14013163425</v>
      </c>
      <c r="B183" s="2" t="s">
        <v>402</v>
      </c>
      <c r="C183" s="2" t="s">
        <v>401</v>
      </c>
      <c r="D183" s="6" t="s">
        <v>8</v>
      </c>
      <c r="E183" s="2"/>
      <c r="F183" s="2" t="s">
        <v>9</v>
      </c>
      <c r="G183" s="2" t="s">
        <v>10</v>
      </c>
      <c r="H183" s="2" t="s">
        <v>41</v>
      </c>
    </row>
    <row r="184" spans="1:8" x14ac:dyDescent="0.3">
      <c r="A184" s="2" t="str">
        <f>HYPERLINK("https://hsdes.intel.com/resource/14013163434","14013163434")</f>
        <v>14013163434</v>
      </c>
      <c r="B184" s="2" t="s">
        <v>404</v>
      </c>
      <c r="C184" s="2" t="s">
        <v>403</v>
      </c>
      <c r="D184" s="6" t="s">
        <v>8</v>
      </c>
      <c r="E184" s="2"/>
      <c r="F184" s="2" t="s">
        <v>9</v>
      </c>
      <c r="G184" s="2" t="s">
        <v>10</v>
      </c>
      <c r="H184" s="2" t="s">
        <v>41</v>
      </c>
    </row>
    <row r="185" spans="1:8" x14ac:dyDescent="0.3">
      <c r="A185" s="2" t="str">
        <f>HYPERLINK("https://hsdes.intel.com/resource/14013163449","14013163449")</f>
        <v>14013163449</v>
      </c>
      <c r="B185" s="2" t="s">
        <v>406</v>
      </c>
      <c r="C185" s="2" t="s">
        <v>405</v>
      </c>
      <c r="D185" s="6" t="s">
        <v>8</v>
      </c>
      <c r="E185" s="2"/>
      <c r="F185" s="2" t="s">
        <v>9</v>
      </c>
      <c r="G185" s="2" t="s">
        <v>10</v>
      </c>
      <c r="H185" s="2" t="s">
        <v>11</v>
      </c>
    </row>
    <row r="186" spans="1:8" x14ac:dyDescent="0.3">
      <c r="A186" s="2" t="str">
        <f>HYPERLINK("https://hsdes.intel.com/resource/14013163467","14013163467")</f>
        <v>14013163467</v>
      </c>
      <c r="B186" s="2" t="s">
        <v>408</v>
      </c>
      <c r="C186" s="2" t="s">
        <v>407</v>
      </c>
      <c r="D186" s="6" t="s">
        <v>8</v>
      </c>
      <c r="E186" s="2"/>
      <c r="F186" s="2" t="s">
        <v>208</v>
      </c>
      <c r="G186" s="2" t="s">
        <v>209</v>
      </c>
      <c r="H186" s="2" t="s">
        <v>41</v>
      </c>
    </row>
    <row r="187" spans="1:8" x14ac:dyDescent="0.3">
      <c r="A187" s="2" t="str">
        <f>HYPERLINK("https://hsdes.intel.com/resource/14013163931","14013163931")</f>
        <v>14013163931</v>
      </c>
      <c r="B187" s="2" t="s">
        <v>410</v>
      </c>
      <c r="C187" s="2" t="s">
        <v>409</v>
      </c>
      <c r="D187" s="6" t="s">
        <v>8</v>
      </c>
      <c r="E187" s="2"/>
      <c r="F187" s="2" t="s">
        <v>9</v>
      </c>
      <c r="G187" s="2" t="s">
        <v>10</v>
      </c>
      <c r="H187" s="2" t="s">
        <v>11</v>
      </c>
    </row>
    <row r="188" spans="1:8" x14ac:dyDescent="0.3">
      <c r="A188" s="2" t="str">
        <f>HYPERLINK("https://hsdes.intel.com/resource/14013164082","14013164082")</f>
        <v>14013164082</v>
      </c>
      <c r="B188" s="2" t="s">
        <v>412</v>
      </c>
      <c r="C188" s="2" t="s">
        <v>411</v>
      </c>
      <c r="D188" s="6" t="s">
        <v>8</v>
      </c>
      <c r="E188" s="2"/>
      <c r="F188" s="2" t="s">
        <v>135</v>
      </c>
      <c r="G188" s="2" t="s">
        <v>136</v>
      </c>
      <c r="H188" s="2" t="s">
        <v>16</v>
      </c>
    </row>
    <row r="189" spans="1:8" x14ac:dyDescent="0.3">
      <c r="A189" s="2" t="str">
        <f>HYPERLINK("https://hsdes.intel.com/resource/14013164115","14013164115")</f>
        <v>14013164115</v>
      </c>
      <c r="B189" s="2" t="s">
        <v>414</v>
      </c>
      <c r="C189" s="2" t="s">
        <v>413</v>
      </c>
      <c r="D189" s="6" t="s">
        <v>8</v>
      </c>
      <c r="E189" s="2"/>
      <c r="F189" s="2" t="s">
        <v>9</v>
      </c>
      <c r="G189" s="2" t="s">
        <v>10</v>
      </c>
      <c r="H189" s="2" t="s">
        <v>16</v>
      </c>
    </row>
    <row r="190" spans="1:8" x14ac:dyDescent="0.3">
      <c r="A190" s="2" t="str">
        <f>HYPERLINK("https://hsdes.intel.com/resource/14013164191","14013164191")</f>
        <v>14013164191</v>
      </c>
      <c r="B190" s="2" t="s">
        <v>416</v>
      </c>
      <c r="C190" s="2" t="s">
        <v>415</v>
      </c>
      <c r="D190" s="6" t="s">
        <v>8</v>
      </c>
      <c r="E190" s="2"/>
      <c r="F190" s="2" t="s">
        <v>25</v>
      </c>
      <c r="G190" s="2" t="s">
        <v>201</v>
      </c>
      <c r="H190" s="2" t="s">
        <v>16</v>
      </c>
    </row>
    <row r="191" spans="1:8" x14ac:dyDescent="0.3">
      <c r="A191" s="2" t="str">
        <f>HYPERLINK("https://hsdes.intel.com/resource/14013164398","14013164398")</f>
        <v>14013164398</v>
      </c>
      <c r="B191" s="2" t="s">
        <v>418</v>
      </c>
      <c r="C191" s="2" t="s">
        <v>417</v>
      </c>
      <c r="D191" s="6" t="s">
        <v>8</v>
      </c>
      <c r="E191" s="2"/>
      <c r="F191" s="2" t="s">
        <v>62</v>
      </c>
      <c r="G191" s="2" t="s">
        <v>63</v>
      </c>
      <c r="H191" s="2" t="s">
        <v>11</v>
      </c>
    </row>
    <row r="192" spans="1:8" x14ac:dyDescent="0.3">
      <c r="A192" s="2" t="str">
        <f>HYPERLINK("https://hsdes.intel.com/resource/14013164448","14013164448")</f>
        <v>14013164448</v>
      </c>
      <c r="B192" s="2" t="s">
        <v>420</v>
      </c>
      <c r="C192" s="2" t="s">
        <v>419</v>
      </c>
      <c r="D192" s="6" t="s">
        <v>8</v>
      </c>
      <c r="E192" s="2"/>
      <c r="F192" s="2" t="s">
        <v>62</v>
      </c>
      <c r="G192" s="2" t="s">
        <v>63</v>
      </c>
      <c r="H192" s="2" t="s">
        <v>16</v>
      </c>
    </row>
    <row r="193" spans="1:8" x14ac:dyDescent="0.3">
      <c r="A193" s="2" t="str">
        <f>HYPERLINK("https://hsdes.intel.com/resource/14013164489","14013164489")</f>
        <v>14013164489</v>
      </c>
      <c r="B193" s="2" t="s">
        <v>422</v>
      </c>
      <c r="C193" s="2" t="s">
        <v>421</v>
      </c>
      <c r="D193" s="6" t="s">
        <v>8</v>
      </c>
      <c r="E193" s="2"/>
      <c r="F193" s="2" t="s">
        <v>62</v>
      </c>
      <c r="G193" s="2" t="s">
        <v>63</v>
      </c>
      <c r="H193" s="2" t="s">
        <v>16</v>
      </c>
    </row>
    <row r="194" spans="1:8" x14ac:dyDescent="0.3">
      <c r="A194" s="2" t="str">
        <f>HYPERLINK("https://hsdes.intel.com/resource/14013164505","14013164505")</f>
        <v>14013164505</v>
      </c>
      <c r="B194" s="2" t="s">
        <v>424</v>
      </c>
      <c r="C194" s="2" t="s">
        <v>423</v>
      </c>
      <c r="D194" s="6" t="s">
        <v>8</v>
      </c>
      <c r="E194" s="2"/>
      <c r="F194" s="2" t="s">
        <v>62</v>
      </c>
      <c r="G194" s="2" t="s">
        <v>63</v>
      </c>
      <c r="H194" s="2" t="s">
        <v>16</v>
      </c>
    </row>
    <row r="195" spans="1:8" x14ac:dyDescent="0.3">
      <c r="A195" s="2" t="str">
        <f>HYPERLINK("https://hsdes.intel.com/resource/14013164519","14013164519")</f>
        <v>14013164519</v>
      </c>
      <c r="B195" s="2" t="s">
        <v>426</v>
      </c>
      <c r="C195" s="2" t="s">
        <v>425</v>
      </c>
      <c r="D195" s="6" t="s">
        <v>8</v>
      </c>
      <c r="E195" s="2"/>
      <c r="F195" s="2" t="s">
        <v>62</v>
      </c>
      <c r="G195" s="2" t="s">
        <v>63</v>
      </c>
      <c r="H195" s="2" t="s">
        <v>11</v>
      </c>
    </row>
    <row r="196" spans="1:8" x14ac:dyDescent="0.3">
      <c r="A196" s="2" t="str">
        <f>HYPERLINK("https://hsdes.intel.com/resource/14013164543","14013164543")</f>
        <v>14013164543</v>
      </c>
      <c r="B196" s="2" t="s">
        <v>428</v>
      </c>
      <c r="C196" s="2" t="s">
        <v>427</v>
      </c>
      <c r="D196" s="6" t="s">
        <v>8</v>
      </c>
      <c r="E196" s="2"/>
      <c r="F196" s="2" t="s">
        <v>62</v>
      </c>
      <c r="G196" s="2" t="s">
        <v>63</v>
      </c>
      <c r="H196" s="2" t="s">
        <v>11</v>
      </c>
    </row>
    <row r="197" spans="1:8" x14ac:dyDescent="0.3">
      <c r="A197" s="2" t="str">
        <f>HYPERLINK("https://hsdes.intel.com/resource/14013164570","14013164570")</f>
        <v>14013164570</v>
      </c>
      <c r="B197" s="2" t="s">
        <v>430</v>
      </c>
      <c r="C197" s="2" t="s">
        <v>429</v>
      </c>
      <c r="D197" s="6" t="s">
        <v>8</v>
      </c>
      <c r="E197" s="2"/>
      <c r="F197" s="2" t="s">
        <v>62</v>
      </c>
      <c r="G197" s="2" t="s">
        <v>63</v>
      </c>
      <c r="H197" s="2" t="s">
        <v>11</v>
      </c>
    </row>
    <row r="198" spans="1:8" x14ac:dyDescent="0.3">
      <c r="A198" s="2" t="str">
        <f>HYPERLINK("https://hsdes.intel.com/resource/14013164575","14013164575")</f>
        <v>14013164575</v>
      </c>
      <c r="B198" s="2" t="s">
        <v>432</v>
      </c>
      <c r="C198" s="2" t="s">
        <v>431</v>
      </c>
      <c r="D198" s="6" t="s">
        <v>8</v>
      </c>
      <c r="E198" s="2"/>
      <c r="F198" s="2" t="s">
        <v>62</v>
      </c>
      <c r="G198" s="2" t="s">
        <v>63</v>
      </c>
      <c r="H198" s="2" t="s">
        <v>11</v>
      </c>
    </row>
    <row r="199" spans="1:8" x14ac:dyDescent="0.3">
      <c r="A199" s="2" t="str">
        <f>HYPERLINK("https://hsdes.intel.com/resource/14013164593","14013164593")</f>
        <v>14013164593</v>
      </c>
      <c r="B199" s="2" t="s">
        <v>434</v>
      </c>
      <c r="C199" s="2" t="s">
        <v>433</v>
      </c>
      <c r="D199" s="6" t="s">
        <v>8</v>
      </c>
      <c r="E199" s="2"/>
      <c r="F199" s="2" t="s">
        <v>62</v>
      </c>
      <c r="G199" s="2" t="s">
        <v>63</v>
      </c>
      <c r="H199" s="2" t="s">
        <v>11</v>
      </c>
    </row>
    <row r="200" spans="1:8" x14ac:dyDescent="0.3">
      <c r="A200" s="2" t="str">
        <f>HYPERLINK("https://hsdes.intel.com/resource/14013164617","14013164617")</f>
        <v>14013164617</v>
      </c>
      <c r="B200" s="2" t="s">
        <v>436</v>
      </c>
      <c r="C200" s="2" t="s">
        <v>435</v>
      </c>
      <c r="D200" s="6" t="s">
        <v>8</v>
      </c>
      <c r="E200" s="2"/>
      <c r="F200" s="2" t="s">
        <v>62</v>
      </c>
      <c r="G200" s="2" t="s">
        <v>63</v>
      </c>
      <c r="H200" s="2" t="s">
        <v>11</v>
      </c>
    </row>
    <row r="201" spans="1:8" x14ac:dyDescent="0.3">
      <c r="A201" s="2" t="str">
        <f>HYPERLINK("https://hsdes.intel.com/resource/14013164625","14013164625")</f>
        <v>14013164625</v>
      </c>
      <c r="B201" s="2" t="s">
        <v>438</v>
      </c>
      <c r="C201" s="2" t="s">
        <v>437</v>
      </c>
      <c r="D201" s="6" t="s">
        <v>8</v>
      </c>
      <c r="E201" s="2"/>
      <c r="F201" s="2" t="s">
        <v>62</v>
      </c>
      <c r="G201" s="2" t="s">
        <v>63</v>
      </c>
      <c r="H201" s="2" t="s">
        <v>11</v>
      </c>
    </row>
    <row r="202" spans="1:8" x14ac:dyDescent="0.3">
      <c r="A202" s="2" t="str">
        <f>HYPERLINK("https://hsdes.intel.com/resource/14013164746","14013164746")</f>
        <v>14013164746</v>
      </c>
      <c r="B202" s="2" t="s">
        <v>440</v>
      </c>
      <c r="C202" s="2" t="s">
        <v>439</v>
      </c>
      <c r="D202" s="6" t="s">
        <v>8</v>
      </c>
      <c r="E202" s="2"/>
      <c r="F202" s="2" t="s">
        <v>135</v>
      </c>
      <c r="G202" s="2" t="s">
        <v>136</v>
      </c>
      <c r="H202" s="2" t="s">
        <v>16</v>
      </c>
    </row>
    <row r="203" spans="1:8" x14ac:dyDescent="0.3">
      <c r="A203" s="2" t="str">
        <f>HYPERLINK("https://hsdes.intel.com/resource/14013164753","14013164753")</f>
        <v>14013164753</v>
      </c>
      <c r="B203" s="2" t="s">
        <v>442</v>
      </c>
      <c r="C203" s="2" t="s">
        <v>441</v>
      </c>
      <c r="D203" s="6" t="s">
        <v>8</v>
      </c>
      <c r="E203" s="2"/>
      <c r="F203" s="2" t="s">
        <v>135</v>
      </c>
      <c r="G203" s="2" t="s">
        <v>136</v>
      </c>
      <c r="H203" s="2" t="s">
        <v>16</v>
      </c>
    </row>
    <row r="204" spans="1:8" x14ac:dyDescent="0.3">
      <c r="A204" s="2" t="str">
        <f>HYPERLINK("https://hsdes.intel.com/resource/14013164915","14013164915")</f>
        <v>14013164915</v>
      </c>
      <c r="B204" s="2" t="s">
        <v>444</v>
      </c>
      <c r="C204" s="2" t="s">
        <v>443</v>
      </c>
      <c r="D204" s="6" t="s">
        <v>8</v>
      </c>
      <c r="E204" s="2"/>
      <c r="F204" s="2" t="s">
        <v>62</v>
      </c>
      <c r="G204" s="2" t="s">
        <v>63</v>
      </c>
      <c r="H204" s="2" t="s">
        <v>16</v>
      </c>
    </row>
    <row r="205" spans="1:8" x14ac:dyDescent="0.3">
      <c r="A205" s="2" t="str">
        <f>HYPERLINK("https://hsdes.intel.com/resource/14013164923","14013164923")</f>
        <v>14013164923</v>
      </c>
      <c r="B205" s="2" t="s">
        <v>446</v>
      </c>
      <c r="C205" s="2" t="s">
        <v>445</v>
      </c>
      <c r="D205" s="6" t="s">
        <v>8</v>
      </c>
      <c r="E205" s="2"/>
      <c r="F205" s="2" t="s">
        <v>62</v>
      </c>
      <c r="G205" s="2" t="s">
        <v>63</v>
      </c>
      <c r="H205" s="2" t="s">
        <v>11</v>
      </c>
    </row>
    <row r="206" spans="1:8" x14ac:dyDescent="0.3">
      <c r="A206" s="2" t="str">
        <f>HYPERLINK("https://hsdes.intel.com/resource/14013164937","14013164937")</f>
        <v>14013164937</v>
      </c>
      <c r="B206" s="2" t="s">
        <v>448</v>
      </c>
      <c r="C206" s="2" t="s">
        <v>447</v>
      </c>
      <c r="D206" s="6" t="s">
        <v>8</v>
      </c>
      <c r="E206" s="2"/>
      <c r="F206" s="2" t="s">
        <v>62</v>
      </c>
      <c r="G206" s="2" t="s">
        <v>63</v>
      </c>
      <c r="H206" s="2" t="s">
        <v>16</v>
      </c>
    </row>
    <row r="207" spans="1:8" x14ac:dyDescent="0.3">
      <c r="A207" s="2" t="str">
        <f>HYPERLINK("https://hsdes.intel.com/resource/14013165004","14013165004")</f>
        <v>14013165004</v>
      </c>
      <c r="B207" s="2" t="s">
        <v>450</v>
      </c>
      <c r="C207" s="2" t="s">
        <v>449</v>
      </c>
      <c r="D207" s="6" t="s">
        <v>8</v>
      </c>
      <c r="E207" s="2"/>
      <c r="F207" s="2" t="s">
        <v>62</v>
      </c>
      <c r="G207" s="2" t="s">
        <v>63</v>
      </c>
      <c r="H207" s="2" t="s">
        <v>11</v>
      </c>
    </row>
    <row r="208" spans="1:8" x14ac:dyDescent="0.3">
      <c r="A208" s="2" t="str">
        <f>HYPERLINK("https://hsdes.intel.com/resource/14013165013","14013165013")</f>
        <v>14013165013</v>
      </c>
      <c r="B208" s="2" t="s">
        <v>452</v>
      </c>
      <c r="C208" s="2" t="s">
        <v>451</v>
      </c>
      <c r="D208" s="6" t="s">
        <v>8</v>
      </c>
      <c r="E208" s="2"/>
      <c r="F208" s="2" t="s">
        <v>62</v>
      </c>
      <c r="G208" s="2" t="s">
        <v>63</v>
      </c>
      <c r="H208" s="2" t="s">
        <v>11</v>
      </c>
    </row>
    <row r="209" spans="1:8" x14ac:dyDescent="0.3">
      <c r="A209" s="2" t="str">
        <f>HYPERLINK("https://hsdes.intel.com/resource/14013165037","14013165037")</f>
        <v>14013165037</v>
      </c>
      <c r="B209" s="2" t="s">
        <v>454</v>
      </c>
      <c r="C209" s="2" t="s">
        <v>453</v>
      </c>
      <c r="D209" s="6" t="s">
        <v>8</v>
      </c>
      <c r="E209" s="2"/>
      <c r="F209" s="2" t="s">
        <v>21</v>
      </c>
      <c r="G209" s="2" t="s">
        <v>22</v>
      </c>
      <c r="H209" s="2" t="s">
        <v>16</v>
      </c>
    </row>
    <row r="210" spans="1:8" x14ac:dyDescent="0.3">
      <c r="A210" s="2" t="str">
        <f>HYPERLINK("https://hsdes.intel.com/resource/14013165053","14013165053")</f>
        <v>14013165053</v>
      </c>
      <c r="B210" s="2" t="s">
        <v>456</v>
      </c>
      <c r="C210" s="2" t="s">
        <v>455</v>
      </c>
      <c r="D210" s="6" t="s">
        <v>8</v>
      </c>
      <c r="E210" s="2"/>
      <c r="F210" s="2" t="s">
        <v>158</v>
      </c>
      <c r="G210" s="2" t="s">
        <v>38</v>
      </c>
      <c r="H210" s="2" t="s">
        <v>16</v>
      </c>
    </row>
    <row r="211" spans="1:8" x14ac:dyDescent="0.3">
      <c r="A211" s="2" t="str">
        <f>HYPERLINK("https://hsdes.intel.com/resource/14013165068","14013165068")</f>
        <v>14013165068</v>
      </c>
      <c r="B211" s="2" t="s">
        <v>458</v>
      </c>
      <c r="C211" s="2" t="s">
        <v>457</v>
      </c>
      <c r="D211" s="6" t="s">
        <v>8</v>
      </c>
      <c r="E211" s="2"/>
      <c r="F211" s="2" t="s">
        <v>62</v>
      </c>
      <c r="G211" s="2" t="s">
        <v>63</v>
      </c>
      <c r="H211" s="2" t="s">
        <v>11</v>
      </c>
    </row>
    <row r="212" spans="1:8" x14ac:dyDescent="0.3">
      <c r="A212" s="2" t="str">
        <f>HYPERLINK("https://hsdes.intel.com/resource/14013165103","14013165103")</f>
        <v>14013165103</v>
      </c>
      <c r="B212" s="2" t="s">
        <v>460</v>
      </c>
      <c r="C212" s="2" t="s">
        <v>459</v>
      </c>
      <c r="D212" s="6" t="s">
        <v>8</v>
      </c>
      <c r="E212" s="2"/>
      <c r="F212" s="2" t="s">
        <v>62</v>
      </c>
      <c r="G212" s="2" t="s">
        <v>63</v>
      </c>
      <c r="H212" s="2" t="s">
        <v>11</v>
      </c>
    </row>
    <row r="213" spans="1:8" x14ac:dyDescent="0.3">
      <c r="A213" s="2" t="str">
        <f>HYPERLINK("https://hsdes.intel.com/resource/14013165105","14013165105")</f>
        <v>14013165105</v>
      </c>
      <c r="B213" s="2" t="s">
        <v>462</v>
      </c>
      <c r="C213" s="2" t="s">
        <v>461</v>
      </c>
      <c r="D213" s="6" t="s">
        <v>8</v>
      </c>
      <c r="E213" s="2"/>
      <c r="F213" s="2" t="s">
        <v>62</v>
      </c>
      <c r="G213" s="2" t="s">
        <v>63</v>
      </c>
      <c r="H213" s="2" t="s">
        <v>11</v>
      </c>
    </row>
    <row r="214" spans="1:8" x14ac:dyDescent="0.3">
      <c r="A214" s="2" t="str">
        <f>HYPERLINK("https://hsdes.intel.com/resource/14013165106","14013165106")</f>
        <v>14013165106</v>
      </c>
      <c r="B214" s="2" t="s">
        <v>464</v>
      </c>
      <c r="C214" s="2" t="s">
        <v>463</v>
      </c>
      <c r="D214" s="6" t="s">
        <v>8</v>
      </c>
      <c r="E214" s="2"/>
      <c r="F214" s="2" t="s">
        <v>62</v>
      </c>
      <c r="G214" s="2" t="s">
        <v>63</v>
      </c>
      <c r="H214" s="2" t="s">
        <v>11</v>
      </c>
    </row>
    <row r="215" spans="1:8" x14ac:dyDescent="0.3">
      <c r="A215" s="2" t="str">
        <f>HYPERLINK("https://hsdes.intel.com/resource/14013165112","14013165112")</f>
        <v>14013165112</v>
      </c>
      <c r="B215" s="2" t="s">
        <v>466</v>
      </c>
      <c r="C215" s="2" t="s">
        <v>465</v>
      </c>
      <c r="D215" s="6" t="s">
        <v>8</v>
      </c>
      <c r="E215" s="2"/>
      <c r="F215" s="2" t="s">
        <v>9</v>
      </c>
      <c r="G215" s="2" t="s">
        <v>10</v>
      </c>
      <c r="H215" s="2" t="s">
        <v>41</v>
      </c>
    </row>
    <row r="216" spans="1:8" x14ac:dyDescent="0.3">
      <c r="A216" s="2" t="str">
        <f>HYPERLINK("https://hsdes.intel.com/resource/14013165116","14013165116")</f>
        <v>14013165116</v>
      </c>
      <c r="B216" s="2" t="s">
        <v>468</v>
      </c>
      <c r="C216" s="2" t="s">
        <v>467</v>
      </c>
      <c r="D216" s="6" t="s">
        <v>8</v>
      </c>
      <c r="E216" s="2"/>
      <c r="F216" s="2" t="s">
        <v>9</v>
      </c>
      <c r="G216" s="2" t="s">
        <v>10</v>
      </c>
      <c r="H216" s="2" t="s">
        <v>16</v>
      </c>
    </row>
    <row r="217" spans="1:8" x14ac:dyDescent="0.3">
      <c r="A217" s="2" t="str">
        <f>HYPERLINK("https://hsdes.intel.com/resource/14013165121","14013165121")</f>
        <v>14013165121</v>
      </c>
      <c r="B217" s="2" t="s">
        <v>470</v>
      </c>
      <c r="C217" s="2" t="s">
        <v>469</v>
      </c>
      <c r="D217" s="6" t="s">
        <v>8</v>
      </c>
      <c r="E217" s="2"/>
      <c r="F217" s="2" t="s">
        <v>9</v>
      </c>
      <c r="G217" s="2" t="s">
        <v>10</v>
      </c>
      <c r="H217" s="2" t="s">
        <v>16</v>
      </c>
    </row>
    <row r="218" spans="1:8" x14ac:dyDescent="0.3">
      <c r="A218" s="2" t="str">
        <f>HYPERLINK("https://hsdes.intel.com/resource/14013165202","14013165202")</f>
        <v>14013165202</v>
      </c>
      <c r="B218" s="2" t="s">
        <v>472</v>
      </c>
      <c r="C218" s="2" t="s">
        <v>471</v>
      </c>
      <c r="D218" s="6" t="s">
        <v>8</v>
      </c>
      <c r="E218" s="2"/>
      <c r="F218" s="2" t="s">
        <v>9</v>
      </c>
      <c r="G218" s="2" t="s">
        <v>10</v>
      </c>
      <c r="H218" s="2" t="s">
        <v>41</v>
      </c>
    </row>
    <row r="219" spans="1:8" x14ac:dyDescent="0.3">
      <c r="A219" s="2" t="str">
        <f>HYPERLINK("https://hsdes.intel.com/resource/14013165225","14013165225")</f>
        <v>14013165225</v>
      </c>
      <c r="B219" s="2" t="s">
        <v>474</v>
      </c>
      <c r="C219" s="2" t="s">
        <v>473</v>
      </c>
      <c r="D219" s="6" t="s">
        <v>8</v>
      </c>
      <c r="E219" s="2"/>
      <c r="F219" s="2" t="s">
        <v>9</v>
      </c>
      <c r="G219" s="2" t="s">
        <v>10</v>
      </c>
      <c r="H219" s="2" t="s">
        <v>41</v>
      </c>
    </row>
    <row r="220" spans="1:8" x14ac:dyDescent="0.3">
      <c r="A220" s="2" t="str">
        <f>HYPERLINK("https://hsdes.intel.com/resource/14013165243","14013165243")</f>
        <v>14013165243</v>
      </c>
      <c r="B220" s="2" t="s">
        <v>476</v>
      </c>
      <c r="C220" s="2" t="s">
        <v>475</v>
      </c>
      <c r="D220" s="6" t="s">
        <v>8</v>
      </c>
      <c r="E220" s="2"/>
      <c r="F220" s="2" t="s">
        <v>9</v>
      </c>
      <c r="G220" s="2" t="s">
        <v>10</v>
      </c>
      <c r="H220" s="2" t="s">
        <v>41</v>
      </c>
    </row>
    <row r="221" spans="1:8" x14ac:dyDescent="0.3">
      <c r="A221" s="2" t="str">
        <f>HYPERLINK("https://hsdes.intel.com/resource/14013165260","14013165260")</f>
        <v>14013165260</v>
      </c>
      <c r="B221" s="2" t="s">
        <v>478</v>
      </c>
      <c r="C221" s="2" t="s">
        <v>477</v>
      </c>
      <c r="D221" s="6" t="s">
        <v>8</v>
      </c>
      <c r="E221" s="2"/>
      <c r="F221" s="2" t="s">
        <v>9</v>
      </c>
      <c r="G221" s="2" t="s">
        <v>10</v>
      </c>
      <c r="H221" s="2" t="s">
        <v>41</v>
      </c>
    </row>
    <row r="222" spans="1:8" x14ac:dyDescent="0.3">
      <c r="A222" s="2" t="str">
        <f>HYPERLINK("https://hsdes.intel.com/resource/14013165272","14013165272")</f>
        <v>14013165272</v>
      </c>
      <c r="B222" s="2" t="s">
        <v>480</v>
      </c>
      <c r="C222" s="2" t="s">
        <v>479</v>
      </c>
      <c r="D222" s="6" t="s">
        <v>8</v>
      </c>
      <c r="E222" s="2"/>
      <c r="F222" s="2" t="s">
        <v>9</v>
      </c>
      <c r="G222" s="2" t="s">
        <v>10</v>
      </c>
      <c r="H222" s="2" t="s">
        <v>41</v>
      </c>
    </row>
    <row r="223" spans="1:8" x14ac:dyDescent="0.3">
      <c r="A223" s="2" t="str">
        <f>HYPERLINK("https://hsdes.intel.com/resource/14013165281","14013165281")</f>
        <v>14013165281</v>
      </c>
      <c r="B223" s="2" t="s">
        <v>482</v>
      </c>
      <c r="C223" s="2" t="s">
        <v>481</v>
      </c>
      <c r="D223" s="6" t="s">
        <v>8</v>
      </c>
      <c r="E223" s="2"/>
      <c r="F223" s="2" t="s">
        <v>9</v>
      </c>
      <c r="G223" s="2" t="s">
        <v>10</v>
      </c>
      <c r="H223" s="2" t="s">
        <v>41</v>
      </c>
    </row>
    <row r="224" spans="1:8" x14ac:dyDescent="0.3">
      <c r="A224" s="2" t="str">
        <f>HYPERLINK("https://hsdes.intel.com/resource/14013165287","14013165287")</f>
        <v>14013165287</v>
      </c>
      <c r="B224" s="2" t="s">
        <v>484</v>
      </c>
      <c r="C224" s="2" t="s">
        <v>483</v>
      </c>
      <c r="D224" s="6" t="s">
        <v>8</v>
      </c>
      <c r="E224" s="2"/>
      <c r="F224" s="2" t="s">
        <v>9</v>
      </c>
      <c r="G224" s="2" t="s">
        <v>10</v>
      </c>
      <c r="H224" s="2" t="s">
        <v>41</v>
      </c>
    </row>
    <row r="225" spans="1:8" x14ac:dyDescent="0.3">
      <c r="A225" s="2" t="str">
        <f>HYPERLINK("https://hsdes.intel.com/resource/14013165290","14013165290")</f>
        <v>14013165290</v>
      </c>
      <c r="B225" s="2" t="s">
        <v>486</v>
      </c>
      <c r="C225" s="2" t="s">
        <v>485</v>
      </c>
      <c r="D225" s="6" t="s">
        <v>8</v>
      </c>
      <c r="E225" s="2"/>
      <c r="F225" s="2" t="s">
        <v>9</v>
      </c>
      <c r="G225" s="2" t="s">
        <v>10</v>
      </c>
      <c r="H225" s="2" t="s">
        <v>41</v>
      </c>
    </row>
    <row r="226" spans="1:8" x14ac:dyDescent="0.3">
      <c r="A226" s="2" t="str">
        <f>HYPERLINK("https://hsdes.intel.com/resource/14013165295","14013165295")</f>
        <v>14013165295</v>
      </c>
      <c r="B226" s="2" t="s">
        <v>488</v>
      </c>
      <c r="C226" s="2" t="s">
        <v>487</v>
      </c>
      <c r="D226" s="6" t="s">
        <v>8</v>
      </c>
      <c r="E226" s="2"/>
      <c r="F226" s="2" t="s">
        <v>9</v>
      </c>
      <c r="G226" s="2" t="s">
        <v>10</v>
      </c>
      <c r="H226" s="2" t="s">
        <v>41</v>
      </c>
    </row>
    <row r="227" spans="1:8" x14ac:dyDescent="0.3">
      <c r="A227" s="2" t="str">
        <f>HYPERLINK("https://hsdes.intel.com/resource/14013165524","14013165524")</f>
        <v>14013165524</v>
      </c>
      <c r="B227" s="2" t="s">
        <v>490</v>
      </c>
      <c r="C227" s="2" t="s">
        <v>489</v>
      </c>
      <c r="D227" s="6" t="s">
        <v>8</v>
      </c>
      <c r="E227" s="2"/>
      <c r="F227" s="2" t="s">
        <v>158</v>
      </c>
      <c r="G227" s="2" t="s">
        <v>38</v>
      </c>
      <c r="H227" s="2" t="s">
        <v>11</v>
      </c>
    </row>
    <row r="228" spans="1:8" x14ac:dyDescent="0.3">
      <c r="A228" s="2" t="str">
        <f>HYPERLINK("https://hsdes.intel.com/resource/14013165541","14013165541")</f>
        <v>14013165541</v>
      </c>
      <c r="B228" s="2" t="s">
        <v>492</v>
      </c>
      <c r="C228" s="2" t="s">
        <v>491</v>
      </c>
      <c r="D228" s="6" t="s">
        <v>8</v>
      </c>
      <c r="E228" s="2"/>
      <c r="F228" s="2" t="s">
        <v>62</v>
      </c>
      <c r="G228" s="2" t="s">
        <v>63</v>
      </c>
      <c r="H228" s="2" t="s">
        <v>11</v>
      </c>
    </row>
    <row r="229" spans="1:8" x14ac:dyDescent="0.3">
      <c r="A229" s="2" t="str">
        <f>HYPERLINK("https://hsdes.intel.com/resource/14013165584","14013165584")</f>
        <v>14013165584</v>
      </c>
      <c r="B229" s="2" t="s">
        <v>494</v>
      </c>
      <c r="C229" s="2" t="s">
        <v>493</v>
      </c>
      <c r="D229" s="6" t="s">
        <v>8</v>
      </c>
      <c r="E229" s="2"/>
      <c r="F229" s="2" t="s">
        <v>62</v>
      </c>
      <c r="G229" s="2" t="s">
        <v>63</v>
      </c>
      <c r="H229" s="2" t="s">
        <v>41</v>
      </c>
    </row>
    <row r="230" spans="1:8" x14ac:dyDescent="0.3">
      <c r="A230" s="2" t="str">
        <f>HYPERLINK("https://hsdes.intel.com/resource/14013165591","14013165591")</f>
        <v>14013165591</v>
      </c>
      <c r="B230" s="2" t="s">
        <v>496</v>
      </c>
      <c r="C230" s="2" t="s">
        <v>495</v>
      </c>
      <c r="D230" s="6" t="s">
        <v>8</v>
      </c>
      <c r="E230" s="2"/>
      <c r="F230" s="2" t="s">
        <v>33</v>
      </c>
      <c r="G230" s="2" t="s">
        <v>201</v>
      </c>
      <c r="H230" s="2" t="s">
        <v>11</v>
      </c>
    </row>
    <row r="231" spans="1:8" x14ac:dyDescent="0.3">
      <c r="A231" s="2" t="str">
        <f>HYPERLINK("https://hsdes.intel.com/resource/14013165606","14013165606")</f>
        <v>14013165606</v>
      </c>
      <c r="B231" s="2" t="s">
        <v>498</v>
      </c>
      <c r="C231" s="2" t="s">
        <v>497</v>
      </c>
      <c r="D231" s="6" t="s">
        <v>8</v>
      </c>
      <c r="E231" s="2"/>
      <c r="F231" s="2" t="s">
        <v>25</v>
      </c>
      <c r="G231" s="2" t="s">
        <v>26</v>
      </c>
      <c r="H231" s="2" t="s">
        <v>16</v>
      </c>
    </row>
    <row r="232" spans="1:8" x14ac:dyDescent="0.3">
      <c r="A232" s="2" t="str">
        <f>HYPERLINK("https://hsdes.intel.com/resource/14013165608","14013165608")</f>
        <v>14013165608</v>
      </c>
      <c r="B232" s="2" t="s">
        <v>500</v>
      </c>
      <c r="C232" s="2" t="s">
        <v>499</v>
      </c>
      <c r="D232" s="6" t="s">
        <v>8</v>
      </c>
      <c r="E232" s="2"/>
      <c r="F232" s="2" t="s">
        <v>37</v>
      </c>
      <c r="G232" s="2" t="s">
        <v>98</v>
      </c>
      <c r="H232" s="2" t="s">
        <v>41</v>
      </c>
    </row>
    <row r="233" spans="1:8" x14ac:dyDescent="0.3">
      <c r="A233" s="2" t="str">
        <f>HYPERLINK("https://hsdes.intel.com/resource/14013165637","14013165637")</f>
        <v>14013165637</v>
      </c>
      <c r="B233" s="2" t="s">
        <v>502</v>
      </c>
      <c r="C233" s="2" t="s">
        <v>501</v>
      </c>
      <c r="D233" s="6" t="s">
        <v>8</v>
      </c>
      <c r="E233" s="2"/>
      <c r="F233" s="2" t="s">
        <v>62</v>
      </c>
      <c r="G233" s="2" t="s">
        <v>63</v>
      </c>
      <c r="H233" s="2" t="s">
        <v>11</v>
      </c>
    </row>
    <row r="234" spans="1:8" x14ac:dyDescent="0.3">
      <c r="A234" s="2" t="str">
        <f>HYPERLINK("https://hsdes.intel.com/resource/14013165642","14013165642")</f>
        <v>14013165642</v>
      </c>
      <c r="B234" s="2" t="s">
        <v>504</v>
      </c>
      <c r="C234" s="2" t="s">
        <v>503</v>
      </c>
      <c r="D234" s="6" t="s">
        <v>8</v>
      </c>
      <c r="E234" s="2"/>
      <c r="F234" s="2" t="s">
        <v>62</v>
      </c>
      <c r="G234" s="2" t="s">
        <v>63</v>
      </c>
      <c r="H234" s="2" t="s">
        <v>11</v>
      </c>
    </row>
    <row r="235" spans="1:8" x14ac:dyDescent="0.3">
      <c r="A235" s="2" t="str">
        <f>HYPERLINK("https://hsdes.intel.com/resource/14013165647","14013165647")</f>
        <v>14013165647</v>
      </c>
      <c r="B235" s="2" t="s">
        <v>506</v>
      </c>
      <c r="C235" s="2" t="s">
        <v>505</v>
      </c>
      <c r="D235" s="6" t="s">
        <v>8</v>
      </c>
      <c r="E235" s="2"/>
      <c r="F235" s="2" t="s">
        <v>62</v>
      </c>
      <c r="G235" s="2" t="s">
        <v>63</v>
      </c>
      <c r="H235" s="2" t="s">
        <v>11</v>
      </c>
    </row>
    <row r="236" spans="1:8" x14ac:dyDescent="0.3">
      <c r="A236" s="2" t="str">
        <f>HYPERLINK("https://hsdes.intel.com/resource/14013165649","14013165649")</f>
        <v>14013165649</v>
      </c>
      <c r="B236" s="2" t="s">
        <v>508</v>
      </c>
      <c r="C236" s="2" t="s">
        <v>507</v>
      </c>
      <c r="D236" s="6" t="s">
        <v>8</v>
      </c>
      <c r="E236" s="2"/>
      <c r="F236" s="2" t="s">
        <v>62</v>
      </c>
      <c r="G236" s="2" t="s">
        <v>63</v>
      </c>
      <c r="H236" s="2" t="s">
        <v>11</v>
      </c>
    </row>
    <row r="237" spans="1:8" x14ac:dyDescent="0.3">
      <c r="A237" s="2" t="str">
        <f>HYPERLINK("https://hsdes.intel.com/resource/14013165652","14013165652")</f>
        <v>14013165652</v>
      </c>
      <c r="B237" s="2" t="s">
        <v>510</v>
      </c>
      <c r="C237" s="2" t="s">
        <v>509</v>
      </c>
      <c r="D237" s="6" t="s">
        <v>8</v>
      </c>
      <c r="E237" s="2"/>
      <c r="F237" s="2" t="s">
        <v>62</v>
      </c>
      <c r="G237" s="2" t="s">
        <v>63</v>
      </c>
      <c r="H237" s="2" t="s">
        <v>11</v>
      </c>
    </row>
    <row r="238" spans="1:8" x14ac:dyDescent="0.3">
      <c r="A238" s="2" t="str">
        <f>HYPERLINK("https://hsdes.intel.com/resource/14013165663","14013165663")</f>
        <v>14013165663</v>
      </c>
      <c r="B238" s="2" t="s">
        <v>512</v>
      </c>
      <c r="C238" s="2" t="s">
        <v>511</v>
      </c>
      <c r="D238" s="6" t="s">
        <v>8</v>
      </c>
      <c r="E238" s="2"/>
      <c r="F238" s="2" t="s">
        <v>62</v>
      </c>
      <c r="G238" s="2" t="s">
        <v>63</v>
      </c>
      <c r="H238" s="2" t="s">
        <v>11</v>
      </c>
    </row>
    <row r="239" spans="1:8" x14ac:dyDescent="0.3">
      <c r="A239" s="2" t="str">
        <f>HYPERLINK("https://hsdes.intel.com/resource/14013165665","14013165665")</f>
        <v>14013165665</v>
      </c>
      <c r="B239" s="2" t="s">
        <v>514</v>
      </c>
      <c r="C239" s="2" t="s">
        <v>513</v>
      </c>
      <c r="D239" s="6" t="s">
        <v>8</v>
      </c>
      <c r="E239" s="2"/>
      <c r="F239" s="2" t="s">
        <v>62</v>
      </c>
      <c r="G239" s="2" t="s">
        <v>63</v>
      </c>
      <c r="H239" s="2" t="s">
        <v>11</v>
      </c>
    </row>
    <row r="240" spans="1:8" x14ac:dyDescent="0.3">
      <c r="A240" s="2" t="str">
        <f>HYPERLINK("https://hsdes.intel.com/resource/14013165860","14013165860")</f>
        <v>14013165860</v>
      </c>
      <c r="B240" s="2" t="s">
        <v>446</v>
      </c>
      <c r="C240" s="2" t="s">
        <v>515</v>
      </c>
      <c r="D240" s="6" t="s">
        <v>8</v>
      </c>
      <c r="E240" s="2"/>
      <c r="F240" s="2" t="s">
        <v>62</v>
      </c>
      <c r="G240" s="2" t="s">
        <v>63</v>
      </c>
      <c r="H240" s="2" t="s">
        <v>11</v>
      </c>
    </row>
    <row r="241" spans="1:8" x14ac:dyDescent="0.3">
      <c r="A241" s="2" t="str">
        <f>HYPERLINK("https://hsdes.intel.com/resource/14013165863","14013165863")</f>
        <v>14013165863</v>
      </c>
      <c r="B241" s="2" t="s">
        <v>448</v>
      </c>
      <c r="C241" s="2" t="s">
        <v>516</v>
      </c>
      <c r="D241" s="6" t="s">
        <v>8</v>
      </c>
      <c r="E241" s="2"/>
      <c r="F241" s="2" t="s">
        <v>62</v>
      </c>
      <c r="G241" s="2" t="s">
        <v>63</v>
      </c>
      <c r="H241" s="2" t="s">
        <v>11</v>
      </c>
    </row>
    <row r="242" spans="1:8" x14ac:dyDescent="0.3">
      <c r="A242" s="2" t="str">
        <f>HYPERLINK("https://hsdes.intel.com/resource/14013165865","14013165865")</f>
        <v>14013165865</v>
      </c>
      <c r="B242" s="2" t="s">
        <v>518</v>
      </c>
      <c r="C242" s="2" t="s">
        <v>517</v>
      </c>
      <c r="D242" s="6" t="s">
        <v>8</v>
      </c>
      <c r="E242" s="2"/>
      <c r="F242" s="2" t="s">
        <v>62</v>
      </c>
      <c r="G242" s="2" t="s">
        <v>63</v>
      </c>
      <c r="H242" s="2" t="s">
        <v>11</v>
      </c>
    </row>
    <row r="243" spans="1:8" x14ac:dyDescent="0.3">
      <c r="A243" s="2" t="str">
        <f>HYPERLINK("https://hsdes.intel.com/resource/14013165873","14013165873")</f>
        <v>14013165873</v>
      </c>
      <c r="B243" s="2" t="s">
        <v>520</v>
      </c>
      <c r="C243" s="2" t="s">
        <v>519</v>
      </c>
      <c r="D243" s="6" t="s">
        <v>8</v>
      </c>
      <c r="E243" s="2"/>
      <c r="F243" s="2" t="s">
        <v>62</v>
      </c>
      <c r="G243" s="2" t="s">
        <v>63</v>
      </c>
      <c r="H243" s="2" t="s">
        <v>11</v>
      </c>
    </row>
    <row r="244" spans="1:8" x14ac:dyDescent="0.3">
      <c r="A244" s="2" t="str">
        <f>HYPERLINK("https://hsdes.intel.com/resource/14013165895","14013165895")</f>
        <v>14013165895</v>
      </c>
      <c r="B244" s="2" t="s">
        <v>458</v>
      </c>
      <c r="C244" s="2" t="s">
        <v>521</v>
      </c>
      <c r="D244" s="6" t="s">
        <v>8</v>
      </c>
      <c r="E244" s="2"/>
      <c r="F244" s="2" t="s">
        <v>62</v>
      </c>
      <c r="G244" s="2" t="s">
        <v>63</v>
      </c>
      <c r="H244" s="2" t="s">
        <v>11</v>
      </c>
    </row>
    <row r="245" spans="1:8" x14ac:dyDescent="0.3">
      <c r="A245" s="2" t="str">
        <f>HYPERLINK("https://hsdes.intel.com/resource/14013165906","14013165906")</f>
        <v>14013165906</v>
      </c>
      <c r="B245" s="2" t="s">
        <v>460</v>
      </c>
      <c r="C245" s="2" t="s">
        <v>522</v>
      </c>
      <c r="D245" s="6" t="s">
        <v>8</v>
      </c>
      <c r="E245" s="2"/>
      <c r="F245" s="2" t="s">
        <v>62</v>
      </c>
      <c r="G245" s="2" t="s">
        <v>63</v>
      </c>
      <c r="H245" s="2" t="s">
        <v>11</v>
      </c>
    </row>
    <row r="246" spans="1:8" x14ac:dyDescent="0.3">
      <c r="A246" s="2" t="str">
        <f>HYPERLINK("https://hsdes.intel.com/resource/14013165908","14013165908")</f>
        <v>14013165908</v>
      </c>
      <c r="B246" s="2" t="s">
        <v>464</v>
      </c>
      <c r="C246" s="2" t="s">
        <v>523</v>
      </c>
      <c r="D246" s="6" t="s">
        <v>8</v>
      </c>
      <c r="E246" s="2"/>
      <c r="F246" s="2" t="s">
        <v>62</v>
      </c>
      <c r="G246" s="2" t="s">
        <v>63</v>
      </c>
      <c r="H246" s="2" t="s">
        <v>11</v>
      </c>
    </row>
    <row r="247" spans="1:8" x14ac:dyDescent="0.3">
      <c r="A247" s="2" t="str">
        <f>HYPERLINK("https://hsdes.intel.com/resource/14013166922","14013166922")</f>
        <v>14013166922</v>
      </c>
      <c r="B247" s="2" t="s">
        <v>525</v>
      </c>
      <c r="C247" s="2" t="s">
        <v>524</v>
      </c>
      <c r="D247" s="6" t="s">
        <v>8</v>
      </c>
      <c r="E247" s="2"/>
      <c r="F247" s="2" t="s">
        <v>526</v>
      </c>
      <c r="G247" s="2" t="s">
        <v>527</v>
      </c>
      <c r="H247" s="2" t="s">
        <v>11</v>
      </c>
    </row>
    <row r="248" spans="1:8" x14ac:dyDescent="0.3">
      <c r="A248" s="2" t="str">
        <f>HYPERLINK("https://hsdes.intel.com/resource/14013168579","14013168579")</f>
        <v>14013168579</v>
      </c>
      <c r="B248" s="2" t="s">
        <v>529</v>
      </c>
      <c r="C248" s="2" t="s">
        <v>528</v>
      </c>
      <c r="D248" s="6" t="s">
        <v>8</v>
      </c>
      <c r="E248" s="2"/>
      <c r="F248" s="2" t="s">
        <v>530</v>
      </c>
      <c r="G248" s="2" t="s">
        <v>531</v>
      </c>
      <c r="H248" s="2" t="s">
        <v>16</v>
      </c>
    </row>
    <row r="249" spans="1:8" x14ac:dyDescent="0.3">
      <c r="A249" s="2" t="str">
        <f>HYPERLINK("https://hsdes.intel.com/resource/14013169052","14013169052")</f>
        <v>14013169052</v>
      </c>
      <c r="B249" s="2" t="s">
        <v>533</v>
      </c>
      <c r="C249" s="2" t="s">
        <v>532</v>
      </c>
      <c r="D249" s="6" t="s">
        <v>8</v>
      </c>
      <c r="E249" s="2"/>
      <c r="F249" s="2" t="s">
        <v>530</v>
      </c>
      <c r="G249" s="2" t="s">
        <v>531</v>
      </c>
      <c r="H249" s="2" t="s">
        <v>11</v>
      </c>
    </row>
    <row r="250" spans="1:8" x14ac:dyDescent="0.3">
      <c r="A250" s="2" t="str">
        <f>HYPERLINK("https://hsdes.intel.com/resource/14013172859","14013172859")</f>
        <v>14013172859</v>
      </c>
      <c r="B250" s="2" t="s">
        <v>535</v>
      </c>
      <c r="C250" s="2" t="s">
        <v>534</v>
      </c>
      <c r="D250" s="6" t="s">
        <v>8</v>
      </c>
      <c r="E250" s="2"/>
      <c r="F250" s="2" t="s">
        <v>55</v>
      </c>
      <c r="G250" s="2" t="s">
        <v>38</v>
      </c>
      <c r="H250" s="2" t="s">
        <v>16</v>
      </c>
    </row>
    <row r="251" spans="1:8" x14ac:dyDescent="0.3">
      <c r="A251" s="2" t="str">
        <f>HYPERLINK("https://hsdes.intel.com/resource/14013172861","14013172861")</f>
        <v>14013172861</v>
      </c>
      <c r="B251" s="2" t="s">
        <v>537</v>
      </c>
      <c r="C251" s="2" t="s">
        <v>536</v>
      </c>
      <c r="D251" s="6" t="s">
        <v>8</v>
      </c>
      <c r="E251" s="2"/>
      <c r="F251" s="2" t="s">
        <v>55</v>
      </c>
      <c r="G251" s="2" t="s">
        <v>38</v>
      </c>
      <c r="H251" s="2" t="s">
        <v>16</v>
      </c>
    </row>
    <row r="252" spans="1:8" x14ac:dyDescent="0.3">
      <c r="A252" s="2" t="str">
        <f>HYPERLINK("https://hsdes.intel.com/resource/14013172864","14013172864")</f>
        <v>14013172864</v>
      </c>
      <c r="B252" s="2" t="s">
        <v>539</v>
      </c>
      <c r="C252" s="2" t="s">
        <v>538</v>
      </c>
      <c r="D252" s="6" t="s">
        <v>8</v>
      </c>
      <c r="E252" s="2"/>
      <c r="F252" s="2" t="s">
        <v>55</v>
      </c>
      <c r="G252" s="2" t="s">
        <v>38</v>
      </c>
      <c r="H252" s="2" t="s">
        <v>16</v>
      </c>
    </row>
    <row r="253" spans="1:8" x14ac:dyDescent="0.3">
      <c r="A253" s="2" t="str">
        <f>HYPERLINK("https://hsdes.intel.com/resource/14013172868","14013172868")</f>
        <v>14013172868</v>
      </c>
      <c r="B253" s="2" t="s">
        <v>541</v>
      </c>
      <c r="C253" s="2" t="s">
        <v>540</v>
      </c>
      <c r="D253" s="6" t="s">
        <v>8</v>
      </c>
      <c r="E253" s="2"/>
      <c r="F253" s="2" t="s">
        <v>55</v>
      </c>
      <c r="G253" s="2" t="s">
        <v>38</v>
      </c>
      <c r="H253" s="2" t="s">
        <v>16</v>
      </c>
    </row>
    <row r="254" spans="1:8" x14ac:dyDescent="0.3">
      <c r="A254" s="2" t="str">
        <f>HYPERLINK("https://hsdes.intel.com/resource/14013172872","14013172872")</f>
        <v>14013172872</v>
      </c>
      <c r="B254" s="2" t="s">
        <v>543</v>
      </c>
      <c r="C254" s="2" t="s">
        <v>542</v>
      </c>
      <c r="D254" s="6" t="s">
        <v>8</v>
      </c>
      <c r="E254" s="2"/>
      <c r="F254" s="2" t="s">
        <v>55</v>
      </c>
      <c r="G254" s="2" t="s">
        <v>38</v>
      </c>
      <c r="H254" s="2" t="s">
        <v>16</v>
      </c>
    </row>
    <row r="255" spans="1:8" x14ac:dyDescent="0.3">
      <c r="A255" s="2" t="str">
        <f>HYPERLINK("https://hsdes.intel.com/resource/14013172875","14013172875")</f>
        <v>14013172875</v>
      </c>
      <c r="B255" s="2" t="s">
        <v>545</v>
      </c>
      <c r="C255" s="2" t="s">
        <v>544</v>
      </c>
      <c r="D255" s="6" t="s">
        <v>8</v>
      </c>
      <c r="E255" s="2"/>
      <c r="F255" s="2" t="s">
        <v>55</v>
      </c>
      <c r="G255" s="2" t="s">
        <v>38</v>
      </c>
      <c r="H255" s="2" t="s">
        <v>16</v>
      </c>
    </row>
    <row r="256" spans="1:8" x14ac:dyDescent="0.3">
      <c r="A256" s="2" t="str">
        <f>HYPERLINK("https://hsdes.intel.com/resource/14013172908","14013172908")</f>
        <v>14013172908</v>
      </c>
      <c r="B256" s="2" t="s">
        <v>547</v>
      </c>
      <c r="C256" s="2" t="s">
        <v>546</v>
      </c>
      <c r="D256" s="6" t="s">
        <v>8</v>
      </c>
      <c r="E256" s="2"/>
      <c r="F256" s="2" t="s">
        <v>21</v>
      </c>
      <c r="G256" s="2" t="s">
        <v>22</v>
      </c>
      <c r="H256" s="2" t="s">
        <v>16</v>
      </c>
    </row>
    <row r="257" spans="1:8" x14ac:dyDescent="0.3">
      <c r="A257" s="2" t="str">
        <f>HYPERLINK("https://hsdes.intel.com/resource/14013172912","14013172912")</f>
        <v>14013172912</v>
      </c>
      <c r="B257" s="2" t="s">
        <v>549</v>
      </c>
      <c r="C257" s="2" t="s">
        <v>548</v>
      </c>
      <c r="D257" s="6" t="s">
        <v>8</v>
      </c>
      <c r="E257" s="2"/>
      <c r="F257" s="2" t="s">
        <v>9</v>
      </c>
      <c r="G257" s="2" t="s">
        <v>10</v>
      </c>
      <c r="H257" s="2" t="s">
        <v>11</v>
      </c>
    </row>
    <row r="258" spans="1:8" x14ac:dyDescent="0.3">
      <c r="A258" s="2" t="str">
        <f>HYPERLINK("https://hsdes.intel.com/resource/14013172917","14013172917")</f>
        <v>14013172917</v>
      </c>
      <c r="B258" s="2" t="s">
        <v>551</v>
      </c>
      <c r="C258" s="2" t="s">
        <v>550</v>
      </c>
      <c r="D258" s="6" t="s">
        <v>8</v>
      </c>
      <c r="E258" s="2"/>
      <c r="F258" s="2" t="s">
        <v>9</v>
      </c>
      <c r="G258" s="2" t="s">
        <v>10</v>
      </c>
      <c r="H258" s="2" t="s">
        <v>11</v>
      </c>
    </row>
    <row r="259" spans="1:8" ht="28.8" x14ac:dyDescent="0.3">
      <c r="A259" s="2" t="str">
        <f>HYPERLINK("https://hsdes.intel.com/resource/14013172938","14013172938")</f>
        <v>14013172938</v>
      </c>
      <c r="B259" s="5" t="s">
        <v>553</v>
      </c>
      <c r="C259" s="2" t="s">
        <v>552</v>
      </c>
      <c r="D259" s="6" t="s">
        <v>8</v>
      </c>
      <c r="E259" s="2"/>
      <c r="F259" s="2" t="s">
        <v>9</v>
      </c>
      <c r="G259" s="2" t="s">
        <v>10</v>
      </c>
      <c r="H259" s="2" t="s">
        <v>41</v>
      </c>
    </row>
    <row r="260" spans="1:8" x14ac:dyDescent="0.3">
      <c r="A260" s="2" t="str">
        <f>HYPERLINK("https://hsdes.intel.com/resource/14013172940","14013172940")</f>
        <v>14013172940</v>
      </c>
      <c r="B260" s="2" t="s">
        <v>555</v>
      </c>
      <c r="C260" s="2" t="s">
        <v>554</v>
      </c>
      <c r="D260" s="6" t="s">
        <v>8</v>
      </c>
      <c r="E260" s="2"/>
      <c r="F260" s="2" t="s">
        <v>9</v>
      </c>
      <c r="G260" s="2" t="s">
        <v>10</v>
      </c>
      <c r="H260" s="2" t="s">
        <v>11</v>
      </c>
    </row>
    <row r="261" spans="1:8" x14ac:dyDescent="0.3">
      <c r="A261" s="2" t="str">
        <f>HYPERLINK("https://hsdes.intel.com/resource/14013172956","14013172956")</f>
        <v>14013172956</v>
      </c>
      <c r="B261" s="2" t="s">
        <v>557</v>
      </c>
      <c r="C261" s="2" t="s">
        <v>556</v>
      </c>
      <c r="D261" s="6" t="s">
        <v>8</v>
      </c>
      <c r="E261" s="2"/>
      <c r="F261" s="2" t="s">
        <v>558</v>
      </c>
      <c r="G261" s="2" t="s">
        <v>559</v>
      </c>
      <c r="H261" s="2" t="s">
        <v>41</v>
      </c>
    </row>
    <row r="262" spans="1:8" x14ac:dyDescent="0.3">
      <c r="A262" s="2" t="str">
        <f>HYPERLINK("https://hsdes.intel.com/resource/14013173026","14013173026")</f>
        <v>14013173026</v>
      </c>
      <c r="B262" s="2" t="s">
        <v>561</v>
      </c>
      <c r="C262" s="2" t="s">
        <v>560</v>
      </c>
      <c r="D262" s="6" t="s">
        <v>8</v>
      </c>
      <c r="E262" s="2"/>
      <c r="F262" s="2" t="s">
        <v>55</v>
      </c>
      <c r="G262" s="2" t="s">
        <v>264</v>
      </c>
      <c r="H262" s="2" t="s">
        <v>11</v>
      </c>
    </row>
    <row r="263" spans="1:8" x14ac:dyDescent="0.3">
      <c r="A263" s="2" t="str">
        <f>HYPERLINK("https://hsdes.intel.com/resource/14013173043","14013173043")</f>
        <v>14013173043</v>
      </c>
      <c r="B263" s="2" t="s">
        <v>563</v>
      </c>
      <c r="C263" s="2" t="s">
        <v>562</v>
      </c>
      <c r="D263" s="6" t="s">
        <v>8</v>
      </c>
      <c r="E263" s="2"/>
      <c r="F263" s="2" t="s">
        <v>55</v>
      </c>
      <c r="G263" s="2" t="s">
        <v>264</v>
      </c>
      <c r="H263" s="2" t="s">
        <v>16</v>
      </c>
    </row>
    <row r="264" spans="1:8" x14ac:dyDescent="0.3">
      <c r="A264" s="2" t="str">
        <f>HYPERLINK("https://hsdes.intel.com/resource/14013173090","14013173090")</f>
        <v>14013173090</v>
      </c>
      <c r="B264" s="2" t="s">
        <v>565</v>
      </c>
      <c r="C264" s="2" t="s">
        <v>564</v>
      </c>
      <c r="D264" s="6" t="s">
        <v>8</v>
      </c>
      <c r="E264" s="2"/>
      <c r="F264" s="2" t="s">
        <v>55</v>
      </c>
      <c r="G264" s="2" t="s">
        <v>22</v>
      </c>
      <c r="H264" s="2" t="s">
        <v>16</v>
      </c>
    </row>
    <row r="265" spans="1:8" x14ac:dyDescent="0.3">
      <c r="A265" s="2" t="str">
        <f>HYPERLINK("https://hsdes.intel.com/resource/14013173096","14013173096")</f>
        <v>14013173096</v>
      </c>
      <c r="B265" s="2" t="s">
        <v>567</v>
      </c>
      <c r="C265" s="2" t="s">
        <v>566</v>
      </c>
      <c r="D265" s="6" t="s">
        <v>8</v>
      </c>
      <c r="E265" s="2"/>
      <c r="F265" s="2" t="s">
        <v>55</v>
      </c>
      <c r="G265" s="2" t="s">
        <v>15</v>
      </c>
      <c r="H265" s="2" t="s">
        <v>16</v>
      </c>
    </row>
    <row r="266" spans="1:8" x14ac:dyDescent="0.3">
      <c r="A266" s="2" t="str">
        <f>HYPERLINK("https://hsdes.intel.com/resource/14013173107","14013173107")</f>
        <v>14013173107</v>
      </c>
      <c r="B266" s="2" t="s">
        <v>569</v>
      </c>
      <c r="C266" s="2" t="s">
        <v>568</v>
      </c>
      <c r="D266" s="6" t="s">
        <v>8</v>
      </c>
      <c r="E266" s="2"/>
      <c r="F266" s="2" t="s">
        <v>55</v>
      </c>
      <c r="G266" s="2" t="s">
        <v>15</v>
      </c>
      <c r="H266" s="2" t="s">
        <v>16</v>
      </c>
    </row>
    <row r="267" spans="1:8" x14ac:dyDescent="0.3">
      <c r="A267" s="2" t="str">
        <f>HYPERLINK("https://hsdes.intel.com/resource/14013173144","14013173144")</f>
        <v>14013173144</v>
      </c>
      <c r="B267" s="2" t="s">
        <v>571</v>
      </c>
      <c r="C267" s="2" t="s">
        <v>570</v>
      </c>
      <c r="D267" s="6" t="s">
        <v>8</v>
      </c>
      <c r="E267" s="2"/>
      <c r="F267" s="2" t="s">
        <v>21</v>
      </c>
      <c r="G267" s="2" t="s">
        <v>22</v>
      </c>
      <c r="H267" s="2" t="s">
        <v>16</v>
      </c>
    </row>
    <row r="268" spans="1:8" x14ac:dyDescent="0.3">
      <c r="A268" s="2" t="str">
        <f>HYPERLINK("https://hsdes.intel.com/resource/14013173200","14013173200")</f>
        <v>14013173200</v>
      </c>
      <c r="B268" s="2" t="s">
        <v>573</v>
      </c>
      <c r="C268" s="2" t="s">
        <v>572</v>
      </c>
      <c r="D268" s="6" t="s">
        <v>8</v>
      </c>
      <c r="E268" s="2"/>
      <c r="F268" s="2" t="s">
        <v>21</v>
      </c>
      <c r="G268" s="2" t="s">
        <v>22</v>
      </c>
      <c r="H268" s="2" t="s">
        <v>16</v>
      </c>
    </row>
    <row r="269" spans="1:8" x14ac:dyDescent="0.3">
      <c r="A269" s="2" t="str">
        <f>HYPERLINK("https://hsdes.intel.com/resource/14013173229","14013173229")</f>
        <v>14013173229</v>
      </c>
      <c r="B269" s="2" t="s">
        <v>575</v>
      </c>
      <c r="C269" s="2" t="s">
        <v>574</v>
      </c>
      <c r="D269" s="6" t="s">
        <v>8</v>
      </c>
      <c r="E269" s="2"/>
      <c r="F269" s="2" t="s">
        <v>37</v>
      </c>
      <c r="G269" s="2" t="s">
        <v>38</v>
      </c>
      <c r="H269" s="2" t="s">
        <v>11</v>
      </c>
    </row>
    <row r="270" spans="1:8" x14ac:dyDescent="0.3">
      <c r="A270" s="2" t="str">
        <f>HYPERLINK("https://hsdes.intel.com/resource/14013173249","14013173249")</f>
        <v>14013173249</v>
      </c>
      <c r="B270" s="2" t="s">
        <v>577</v>
      </c>
      <c r="C270" s="2" t="s">
        <v>576</v>
      </c>
      <c r="D270" s="6" t="s">
        <v>8</v>
      </c>
      <c r="E270" s="2"/>
      <c r="F270" s="2" t="s">
        <v>29</v>
      </c>
      <c r="G270" s="2" t="s">
        <v>30</v>
      </c>
      <c r="H270" s="2" t="s">
        <v>16</v>
      </c>
    </row>
    <row r="271" spans="1:8" x14ac:dyDescent="0.3">
      <c r="A271" s="2" t="str">
        <f>HYPERLINK("https://hsdes.intel.com/resource/14013173254","14013173254")</f>
        <v>14013173254</v>
      </c>
      <c r="B271" s="2" t="s">
        <v>579</v>
      </c>
      <c r="C271" s="2" t="s">
        <v>578</v>
      </c>
      <c r="D271" s="6" t="s">
        <v>8</v>
      </c>
      <c r="E271" s="2"/>
      <c r="F271" s="2" t="s">
        <v>29</v>
      </c>
      <c r="G271" s="2" t="s">
        <v>30</v>
      </c>
      <c r="H271" s="2" t="s">
        <v>16</v>
      </c>
    </row>
    <row r="272" spans="1:8" x14ac:dyDescent="0.3">
      <c r="A272" s="2" t="str">
        <f>HYPERLINK("https://hsdes.intel.com/resource/14013173257","14013173257")</f>
        <v>14013173257</v>
      </c>
      <c r="B272" s="2" t="s">
        <v>581</v>
      </c>
      <c r="C272" s="2" t="s">
        <v>580</v>
      </c>
      <c r="D272" s="6" t="s">
        <v>8</v>
      </c>
      <c r="E272" s="2"/>
      <c r="F272" s="2" t="s">
        <v>29</v>
      </c>
      <c r="G272" s="2" t="s">
        <v>30</v>
      </c>
      <c r="H272" s="2" t="s">
        <v>16</v>
      </c>
    </row>
    <row r="273" spans="1:8" x14ac:dyDescent="0.3">
      <c r="A273" s="2" t="str">
        <f>HYPERLINK("https://hsdes.intel.com/resource/14013173279","14013173279")</f>
        <v>14013173279</v>
      </c>
      <c r="B273" s="2" t="s">
        <v>583</v>
      </c>
      <c r="C273" s="2" t="s">
        <v>582</v>
      </c>
      <c r="D273" s="6" t="s">
        <v>8</v>
      </c>
      <c r="E273" s="2"/>
      <c r="F273" s="2" t="s">
        <v>29</v>
      </c>
      <c r="G273" s="2" t="s">
        <v>30</v>
      </c>
      <c r="H273" s="2" t="s">
        <v>16</v>
      </c>
    </row>
    <row r="274" spans="1:8" x14ac:dyDescent="0.3">
      <c r="A274" s="2" t="str">
        <f>HYPERLINK("https://hsdes.intel.com/resource/14013173281","14013173281")</f>
        <v>14013173281</v>
      </c>
      <c r="B274" s="2" t="s">
        <v>585</v>
      </c>
      <c r="C274" s="2" t="s">
        <v>584</v>
      </c>
      <c r="D274" s="6" t="s">
        <v>8</v>
      </c>
      <c r="E274" s="2"/>
      <c r="F274" s="2" t="s">
        <v>29</v>
      </c>
      <c r="G274" s="2" t="s">
        <v>30</v>
      </c>
      <c r="H274" s="2" t="s">
        <v>16</v>
      </c>
    </row>
    <row r="275" spans="1:8" x14ac:dyDescent="0.3">
      <c r="A275" s="2" t="str">
        <f>HYPERLINK("https://hsdes.intel.com/resource/14013173287","14013173287")</f>
        <v>14013173287</v>
      </c>
      <c r="B275" s="2" t="s">
        <v>587</v>
      </c>
      <c r="C275" s="2" t="s">
        <v>586</v>
      </c>
      <c r="D275" s="6" t="s">
        <v>8</v>
      </c>
      <c r="E275" s="2"/>
      <c r="F275" s="2" t="s">
        <v>29</v>
      </c>
      <c r="G275" s="2" t="s">
        <v>30</v>
      </c>
      <c r="H275" s="2" t="s">
        <v>16</v>
      </c>
    </row>
    <row r="276" spans="1:8" x14ac:dyDescent="0.3">
      <c r="A276" s="2" t="str">
        <f>HYPERLINK("https://hsdes.intel.com/resource/14013173289","14013173289")</f>
        <v>14013173289</v>
      </c>
      <c r="B276" s="2" t="s">
        <v>589</v>
      </c>
      <c r="C276" s="2" t="s">
        <v>588</v>
      </c>
      <c r="D276" s="6" t="s">
        <v>8</v>
      </c>
      <c r="E276" s="2"/>
      <c r="F276" s="2" t="s">
        <v>29</v>
      </c>
      <c r="G276" s="2" t="s">
        <v>30</v>
      </c>
      <c r="H276" s="2" t="s">
        <v>16</v>
      </c>
    </row>
    <row r="277" spans="1:8" x14ac:dyDescent="0.3">
      <c r="A277" s="2" t="str">
        <f>HYPERLINK("https://hsdes.intel.com/resource/14013173295","14013173295")</f>
        <v>14013173295</v>
      </c>
      <c r="B277" s="2" t="s">
        <v>591</v>
      </c>
      <c r="C277" s="2" t="s">
        <v>590</v>
      </c>
      <c r="D277" s="6" t="s">
        <v>8</v>
      </c>
      <c r="E277" s="2"/>
      <c r="F277" s="2" t="s">
        <v>29</v>
      </c>
      <c r="G277" s="2" t="s">
        <v>30</v>
      </c>
      <c r="H277" s="2" t="s">
        <v>16</v>
      </c>
    </row>
    <row r="278" spans="1:8" x14ac:dyDescent="0.3">
      <c r="A278" s="2" t="str">
        <f>HYPERLINK("https://hsdes.intel.com/resource/14013173307","14013173307")</f>
        <v>14013173307</v>
      </c>
      <c r="B278" s="2" t="s">
        <v>593</v>
      </c>
      <c r="C278" s="2" t="s">
        <v>592</v>
      </c>
      <c r="D278" s="6" t="s">
        <v>8</v>
      </c>
      <c r="E278" s="2"/>
      <c r="F278" s="2" t="s">
        <v>29</v>
      </c>
      <c r="G278" s="2" t="s">
        <v>30</v>
      </c>
      <c r="H278" s="2" t="s">
        <v>16</v>
      </c>
    </row>
    <row r="279" spans="1:8" x14ac:dyDescent="0.3">
      <c r="A279" s="2" t="str">
        <f>HYPERLINK("https://hsdes.intel.com/resource/14013173311","14013173311")</f>
        <v>14013173311</v>
      </c>
      <c r="B279" s="2" t="s">
        <v>595</v>
      </c>
      <c r="C279" s="2" t="s">
        <v>594</v>
      </c>
      <c r="D279" s="6" t="s">
        <v>8</v>
      </c>
      <c r="E279" s="2"/>
      <c r="F279" s="2" t="s">
        <v>29</v>
      </c>
      <c r="G279" s="2" t="s">
        <v>30</v>
      </c>
      <c r="H279" s="2" t="s">
        <v>16</v>
      </c>
    </row>
    <row r="280" spans="1:8" x14ac:dyDescent="0.3">
      <c r="A280" s="2" t="str">
        <f>HYPERLINK("https://hsdes.intel.com/resource/14013173313","14013173313")</f>
        <v>14013173313</v>
      </c>
      <c r="B280" s="2" t="s">
        <v>597</v>
      </c>
      <c r="C280" s="2" t="s">
        <v>596</v>
      </c>
      <c r="D280" s="6" t="s">
        <v>8</v>
      </c>
      <c r="E280" s="2"/>
      <c r="F280" s="2" t="s">
        <v>29</v>
      </c>
      <c r="G280" s="2" t="s">
        <v>30</v>
      </c>
      <c r="H280" s="2" t="s">
        <v>16</v>
      </c>
    </row>
    <row r="281" spans="1:8" x14ac:dyDescent="0.3">
      <c r="A281" s="2" t="str">
        <f>HYPERLINK("https://hsdes.intel.com/resource/14013173323","14013173323")</f>
        <v>14013173323</v>
      </c>
      <c r="B281" s="2" t="s">
        <v>599</v>
      </c>
      <c r="C281" s="2" t="s">
        <v>598</v>
      </c>
      <c r="D281" s="6" t="s">
        <v>8</v>
      </c>
      <c r="E281" s="2"/>
      <c r="F281" s="2" t="s">
        <v>29</v>
      </c>
      <c r="G281" s="2" t="s">
        <v>30</v>
      </c>
      <c r="H281" s="2" t="s">
        <v>16</v>
      </c>
    </row>
    <row r="282" spans="1:8" x14ac:dyDescent="0.3">
      <c r="A282" s="2" t="str">
        <f>HYPERLINK("https://hsdes.intel.com/resource/14013173325","14013173325")</f>
        <v>14013173325</v>
      </c>
      <c r="B282" s="2" t="s">
        <v>601</v>
      </c>
      <c r="C282" s="2" t="s">
        <v>600</v>
      </c>
      <c r="D282" s="6" t="s">
        <v>8</v>
      </c>
      <c r="E282" s="2"/>
      <c r="F282" s="2" t="s">
        <v>29</v>
      </c>
      <c r="G282" s="2" t="s">
        <v>30</v>
      </c>
      <c r="H282" s="2" t="s">
        <v>16</v>
      </c>
    </row>
    <row r="283" spans="1:8" x14ac:dyDescent="0.3">
      <c r="A283" s="2" t="str">
        <f>HYPERLINK("https://hsdes.intel.com/resource/14013173326","14013173326")</f>
        <v>14013173326</v>
      </c>
      <c r="B283" s="2" t="s">
        <v>603</v>
      </c>
      <c r="C283" s="2" t="s">
        <v>602</v>
      </c>
      <c r="D283" s="6" t="s">
        <v>8</v>
      </c>
      <c r="E283" s="2"/>
      <c r="F283" s="2" t="s">
        <v>29</v>
      </c>
      <c r="G283" s="2" t="s">
        <v>30</v>
      </c>
      <c r="H283" s="2" t="s">
        <v>16</v>
      </c>
    </row>
    <row r="284" spans="1:8" x14ac:dyDescent="0.3">
      <c r="A284" s="2" t="str">
        <f>HYPERLINK("https://hsdes.intel.com/resource/14013173331","14013173331")</f>
        <v>14013173331</v>
      </c>
      <c r="B284" s="2" t="s">
        <v>605</v>
      </c>
      <c r="C284" s="2" t="s">
        <v>604</v>
      </c>
      <c r="D284" s="6" t="s">
        <v>8</v>
      </c>
      <c r="E284" s="2"/>
      <c r="F284" s="2" t="s">
        <v>29</v>
      </c>
      <c r="G284" s="2" t="s">
        <v>30</v>
      </c>
      <c r="H284" s="2" t="s">
        <v>16</v>
      </c>
    </row>
    <row r="285" spans="1:8" x14ac:dyDescent="0.3">
      <c r="A285" s="2" t="str">
        <f>HYPERLINK("https://hsdes.intel.com/resource/14013173339","14013173339")</f>
        <v>14013173339</v>
      </c>
      <c r="B285" s="2" t="s">
        <v>607</v>
      </c>
      <c r="C285" s="2" t="s">
        <v>606</v>
      </c>
      <c r="D285" s="6" t="s">
        <v>8</v>
      </c>
      <c r="E285" s="2"/>
      <c r="F285" s="2" t="s">
        <v>29</v>
      </c>
      <c r="G285" s="2" t="s">
        <v>30</v>
      </c>
      <c r="H285" s="2" t="s">
        <v>11</v>
      </c>
    </row>
    <row r="286" spans="1:8" x14ac:dyDescent="0.3">
      <c r="A286" s="2" t="str">
        <f>HYPERLINK("https://hsdes.intel.com/resource/14013173341","14013173341")</f>
        <v>14013173341</v>
      </c>
      <c r="B286" s="2" t="s">
        <v>609</v>
      </c>
      <c r="C286" s="2" t="s">
        <v>608</v>
      </c>
      <c r="D286" s="6" t="s">
        <v>8</v>
      </c>
      <c r="E286" s="2"/>
      <c r="F286" s="2" t="s">
        <v>29</v>
      </c>
      <c r="G286" s="2" t="s">
        <v>30</v>
      </c>
      <c r="H286" s="2" t="s">
        <v>16</v>
      </c>
    </row>
    <row r="287" spans="1:8" x14ac:dyDescent="0.3">
      <c r="A287" s="2" t="str">
        <f>HYPERLINK("https://hsdes.intel.com/resource/14013173344","14013173344")</f>
        <v>14013173344</v>
      </c>
      <c r="B287" s="2" t="s">
        <v>611</v>
      </c>
      <c r="C287" s="2" t="s">
        <v>610</v>
      </c>
      <c r="D287" s="6" t="s">
        <v>8</v>
      </c>
      <c r="E287" s="2"/>
      <c r="F287" s="2" t="s">
        <v>29</v>
      </c>
      <c r="G287" s="2" t="s">
        <v>30</v>
      </c>
      <c r="H287" s="2" t="s">
        <v>16</v>
      </c>
    </row>
    <row r="288" spans="1:8" x14ac:dyDescent="0.3">
      <c r="A288" s="2" t="str">
        <f>HYPERLINK("https://hsdes.intel.com/resource/14013173347","14013173347")</f>
        <v>14013173347</v>
      </c>
      <c r="B288" s="2" t="s">
        <v>613</v>
      </c>
      <c r="C288" s="2" t="s">
        <v>612</v>
      </c>
      <c r="D288" s="6" t="s">
        <v>8</v>
      </c>
      <c r="E288" s="2"/>
      <c r="F288" s="2" t="s">
        <v>29</v>
      </c>
      <c r="G288" s="2" t="s">
        <v>30</v>
      </c>
      <c r="H288" s="2" t="s">
        <v>16</v>
      </c>
    </row>
    <row r="289" spans="1:8" x14ac:dyDescent="0.3">
      <c r="A289" s="2" t="str">
        <f>HYPERLINK("https://hsdes.intel.com/resource/14013173351","14013173351")</f>
        <v>14013173351</v>
      </c>
      <c r="B289" s="2" t="s">
        <v>615</v>
      </c>
      <c r="C289" s="2" t="s">
        <v>614</v>
      </c>
      <c r="D289" s="6" t="s">
        <v>8</v>
      </c>
      <c r="E289" s="2"/>
      <c r="F289" s="2" t="s">
        <v>29</v>
      </c>
      <c r="G289" s="2" t="s">
        <v>30</v>
      </c>
      <c r="H289" s="2" t="s">
        <v>16</v>
      </c>
    </row>
    <row r="290" spans="1:8" x14ac:dyDescent="0.3">
      <c r="A290" s="2" t="str">
        <f>HYPERLINK("https://hsdes.intel.com/resource/14013173359","14013173359")</f>
        <v>14013173359</v>
      </c>
      <c r="B290" s="2" t="s">
        <v>617</v>
      </c>
      <c r="C290" s="2" t="s">
        <v>616</v>
      </c>
      <c r="D290" s="6" t="s">
        <v>8</v>
      </c>
      <c r="E290" s="2"/>
      <c r="F290" s="2" t="s">
        <v>29</v>
      </c>
      <c r="G290" s="2" t="s">
        <v>30</v>
      </c>
      <c r="H290" s="2" t="s">
        <v>16</v>
      </c>
    </row>
    <row r="291" spans="1:8" x14ac:dyDescent="0.3">
      <c r="A291" s="2" t="str">
        <f>HYPERLINK("https://hsdes.intel.com/resource/14013173927","14013173927")</f>
        <v>14013173927</v>
      </c>
      <c r="B291" s="2" t="s">
        <v>619</v>
      </c>
      <c r="C291" s="2" t="s">
        <v>618</v>
      </c>
      <c r="D291" s="6" t="s">
        <v>8</v>
      </c>
      <c r="E291" s="2"/>
      <c r="F291" s="2" t="s">
        <v>33</v>
      </c>
      <c r="G291" s="2" t="s">
        <v>34</v>
      </c>
      <c r="H291" s="2" t="s">
        <v>16</v>
      </c>
    </row>
    <row r="292" spans="1:8" x14ac:dyDescent="0.3">
      <c r="A292" s="2" t="str">
        <f>HYPERLINK("https://hsdes.intel.com/resource/14013173935","14013173935")</f>
        <v>14013173935</v>
      </c>
      <c r="B292" s="2" t="s">
        <v>621</v>
      </c>
      <c r="C292" s="2" t="s">
        <v>620</v>
      </c>
      <c r="D292" s="6" t="s">
        <v>8</v>
      </c>
      <c r="E292" s="2"/>
      <c r="F292" s="2" t="s">
        <v>33</v>
      </c>
      <c r="G292" s="2" t="s">
        <v>622</v>
      </c>
      <c r="H292" s="2" t="s">
        <v>16</v>
      </c>
    </row>
    <row r="293" spans="1:8" x14ac:dyDescent="0.3">
      <c r="A293" s="2" t="str">
        <f>HYPERLINK("https://hsdes.intel.com/resource/14013173938","14013173938")</f>
        <v>14013173938</v>
      </c>
      <c r="B293" s="2" t="s">
        <v>624</v>
      </c>
      <c r="C293" s="2" t="s">
        <v>623</v>
      </c>
      <c r="D293" s="6" t="s">
        <v>8</v>
      </c>
      <c r="E293" s="2"/>
      <c r="F293" s="2" t="s">
        <v>33</v>
      </c>
      <c r="G293" s="2" t="s">
        <v>622</v>
      </c>
      <c r="H293" s="2" t="s">
        <v>16</v>
      </c>
    </row>
    <row r="294" spans="1:8" x14ac:dyDescent="0.3">
      <c r="A294" s="2" t="str">
        <f>HYPERLINK("https://hsdes.intel.com/resource/14013173952","14013173952")</f>
        <v>14013173952</v>
      </c>
      <c r="B294" s="2" t="s">
        <v>626</v>
      </c>
      <c r="C294" s="2" t="s">
        <v>625</v>
      </c>
      <c r="D294" s="6" t="s">
        <v>8</v>
      </c>
      <c r="E294" s="2"/>
      <c r="F294" s="2" t="s">
        <v>33</v>
      </c>
      <c r="G294" s="2" t="s">
        <v>34</v>
      </c>
      <c r="H294" s="2" t="s">
        <v>16</v>
      </c>
    </row>
    <row r="295" spans="1:8" x14ac:dyDescent="0.3">
      <c r="A295" s="2" t="str">
        <f>HYPERLINK("https://hsdes.intel.com/resource/14013174020","14013174020")</f>
        <v>14013174020</v>
      </c>
      <c r="B295" s="2" t="s">
        <v>628</v>
      </c>
      <c r="C295" s="2" t="s">
        <v>627</v>
      </c>
      <c r="D295" s="6" t="s">
        <v>8</v>
      </c>
      <c r="E295" s="2"/>
      <c r="F295" s="2" t="s">
        <v>33</v>
      </c>
      <c r="G295" s="2" t="s">
        <v>629</v>
      </c>
      <c r="H295" s="2" t="s">
        <v>16</v>
      </c>
    </row>
    <row r="296" spans="1:8" x14ac:dyDescent="0.3">
      <c r="A296" s="2" t="str">
        <f>HYPERLINK("https://hsdes.intel.com/resource/14013174030","14013174030")</f>
        <v>14013174030</v>
      </c>
      <c r="B296" s="2" t="s">
        <v>631</v>
      </c>
      <c r="C296" s="2" t="s">
        <v>630</v>
      </c>
      <c r="D296" s="6" t="s">
        <v>8</v>
      </c>
      <c r="E296" s="2"/>
      <c r="F296" s="2" t="s">
        <v>33</v>
      </c>
      <c r="G296" s="2" t="s">
        <v>201</v>
      </c>
      <c r="H296" s="2" t="s">
        <v>16</v>
      </c>
    </row>
    <row r="297" spans="1:8" x14ac:dyDescent="0.3">
      <c r="A297" s="2" t="str">
        <f>HYPERLINK("https://hsdes.intel.com/resource/14013174036","14013174036")</f>
        <v>14013174036</v>
      </c>
      <c r="B297" s="2" t="s">
        <v>633</v>
      </c>
      <c r="C297" s="2" t="s">
        <v>632</v>
      </c>
      <c r="D297" s="6" t="s">
        <v>8</v>
      </c>
      <c r="E297" s="2"/>
      <c r="F297" s="2" t="s">
        <v>33</v>
      </c>
      <c r="G297" s="2" t="s">
        <v>201</v>
      </c>
      <c r="H297" s="2" t="s">
        <v>16</v>
      </c>
    </row>
    <row r="298" spans="1:8" x14ac:dyDescent="0.3">
      <c r="A298" s="2" t="str">
        <f>HYPERLINK("https://hsdes.intel.com/resource/14013174040","14013174040")</f>
        <v>14013174040</v>
      </c>
      <c r="B298" s="2" t="s">
        <v>635</v>
      </c>
      <c r="C298" s="2" t="s">
        <v>634</v>
      </c>
      <c r="D298" s="6" t="s">
        <v>8</v>
      </c>
      <c r="E298" s="2"/>
      <c r="F298" s="2" t="s">
        <v>33</v>
      </c>
      <c r="G298" s="2" t="s">
        <v>34</v>
      </c>
      <c r="H298" s="2" t="s">
        <v>16</v>
      </c>
    </row>
    <row r="299" spans="1:8" x14ac:dyDescent="0.3">
      <c r="A299" s="2" t="str">
        <f>HYPERLINK("https://hsdes.intel.com/resource/14013174056","14013174056")</f>
        <v>14013174056</v>
      </c>
      <c r="B299" s="2" t="s">
        <v>637</v>
      </c>
      <c r="C299" s="2" t="s">
        <v>636</v>
      </c>
      <c r="D299" s="6" t="s">
        <v>8</v>
      </c>
      <c r="E299" s="2"/>
      <c r="F299" s="2" t="s">
        <v>638</v>
      </c>
      <c r="G299" s="2" t="s">
        <v>30</v>
      </c>
      <c r="H299" s="2" t="s">
        <v>16</v>
      </c>
    </row>
    <row r="300" spans="1:8" x14ac:dyDescent="0.3">
      <c r="A300" s="2" t="str">
        <f>HYPERLINK("https://hsdes.intel.com/resource/14013174080","14013174080")</f>
        <v>14013174080</v>
      </c>
      <c r="B300" s="2" t="s">
        <v>640</v>
      </c>
      <c r="C300" s="2" t="s">
        <v>639</v>
      </c>
      <c r="D300" s="6" t="s">
        <v>8</v>
      </c>
      <c r="E300" s="2"/>
      <c r="F300" s="2" t="s">
        <v>33</v>
      </c>
      <c r="G300" s="2" t="s">
        <v>34</v>
      </c>
      <c r="H300" s="2" t="s">
        <v>16</v>
      </c>
    </row>
    <row r="301" spans="1:8" x14ac:dyDescent="0.3">
      <c r="A301" s="2" t="str">
        <f>HYPERLINK("https://hsdes.intel.com/resource/14013174283","14013174283")</f>
        <v>14013174283</v>
      </c>
      <c r="B301" s="2" t="s">
        <v>642</v>
      </c>
      <c r="C301" s="2" t="s">
        <v>641</v>
      </c>
      <c r="D301" s="6" t="s">
        <v>8</v>
      </c>
      <c r="E301" s="2"/>
      <c r="F301" s="2" t="s">
        <v>33</v>
      </c>
      <c r="G301" s="2" t="s">
        <v>643</v>
      </c>
      <c r="H301" s="2" t="s">
        <v>16</v>
      </c>
    </row>
    <row r="302" spans="1:8" x14ac:dyDescent="0.3">
      <c r="A302" s="2" t="str">
        <f>HYPERLINK("https://hsdes.intel.com/resource/14013174447","14013174447")</f>
        <v>14013174447</v>
      </c>
      <c r="B302" s="2" t="s">
        <v>645</v>
      </c>
      <c r="C302" s="2" t="s">
        <v>644</v>
      </c>
      <c r="D302" s="6" t="s">
        <v>8</v>
      </c>
      <c r="E302" s="2"/>
      <c r="F302" s="2" t="s">
        <v>33</v>
      </c>
      <c r="G302" s="2" t="s">
        <v>201</v>
      </c>
      <c r="H302" s="2" t="s">
        <v>16</v>
      </c>
    </row>
    <row r="303" spans="1:8" x14ac:dyDescent="0.3">
      <c r="A303" s="2" t="str">
        <f>HYPERLINK("https://hsdes.intel.com/resource/14013174476","14013174476")</f>
        <v>14013174476</v>
      </c>
      <c r="B303" s="2" t="s">
        <v>647</v>
      </c>
      <c r="C303" s="2" t="s">
        <v>646</v>
      </c>
      <c r="D303" s="6" t="s">
        <v>8</v>
      </c>
      <c r="E303" s="2"/>
      <c r="F303" s="2" t="s">
        <v>33</v>
      </c>
      <c r="G303" s="2" t="s">
        <v>201</v>
      </c>
      <c r="H303" s="2" t="s">
        <v>16</v>
      </c>
    </row>
    <row r="304" spans="1:8" x14ac:dyDescent="0.3">
      <c r="A304" s="2" t="str">
        <f>HYPERLINK("https://hsdes.intel.com/resource/14013174576","14013174576")</f>
        <v>14013174576</v>
      </c>
      <c r="B304" s="2" t="s">
        <v>649</v>
      </c>
      <c r="C304" s="2" t="s">
        <v>648</v>
      </c>
      <c r="D304" s="6" t="s">
        <v>8</v>
      </c>
      <c r="E304" s="2"/>
      <c r="F304" s="2" t="s">
        <v>33</v>
      </c>
      <c r="G304" s="2" t="s">
        <v>201</v>
      </c>
      <c r="H304" s="2" t="s">
        <v>16</v>
      </c>
    </row>
    <row r="305" spans="1:8" x14ac:dyDescent="0.3">
      <c r="A305" s="2" t="str">
        <f>HYPERLINK("https://hsdes.intel.com/resource/14013174585","14013174585")</f>
        <v>14013174585</v>
      </c>
      <c r="B305" s="2" t="s">
        <v>651</v>
      </c>
      <c r="C305" s="2" t="s">
        <v>650</v>
      </c>
      <c r="D305" s="6" t="s">
        <v>8</v>
      </c>
      <c r="E305" s="2"/>
      <c r="F305" s="2" t="s">
        <v>33</v>
      </c>
      <c r="G305" s="2" t="s">
        <v>201</v>
      </c>
      <c r="H305" s="2" t="s">
        <v>16</v>
      </c>
    </row>
    <row r="306" spans="1:8" x14ac:dyDescent="0.3">
      <c r="A306" s="2" t="str">
        <f>HYPERLINK("https://hsdes.intel.com/resource/14013174623","14013174623")</f>
        <v>14013174623</v>
      </c>
      <c r="B306" s="2" t="s">
        <v>653</v>
      </c>
      <c r="C306" s="2" t="s">
        <v>652</v>
      </c>
      <c r="D306" s="6" t="s">
        <v>8</v>
      </c>
      <c r="E306" s="2"/>
      <c r="F306" s="2" t="s">
        <v>33</v>
      </c>
      <c r="G306" s="2" t="s">
        <v>201</v>
      </c>
      <c r="H306" s="2" t="s">
        <v>16</v>
      </c>
    </row>
    <row r="307" spans="1:8" x14ac:dyDescent="0.3">
      <c r="A307" s="2" t="str">
        <f>HYPERLINK("https://hsdes.intel.com/resource/14013174625","14013174625")</f>
        <v>14013174625</v>
      </c>
      <c r="B307" s="2" t="s">
        <v>655</v>
      </c>
      <c r="C307" s="2" t="s">
        <v>654</v>
      </c>
      <c r="D307" s="6" t="s">
        <v>8</v>
      </c>
      <c r="E307" s="2"/>
      <c r="F307" s="2" t="s">
        <v>33</v>
      </c>
      <c r="G307" s="2" t="s">
        <v>201</v>
      </c>
      <c r="H307" s="2" t="s">
        <v>16</v>
      </c>
    </row>
    <row r="308" spans="1:8" x14ac:dyDescent="0.3">
      <c r="A308" s="2" t="str">
        <f>HYPERLINK("https://hsdes.intel.com/resource/14013174630","14013174630")</f>
        <v>14013174630</v>
      </c>
      <c r="B308" s="2" t="s">
        <v>657</v>
      </c>
      <c r="C308" s="2" t="s">
        <v>656</v>
      </c>
      <c r="D308" s="6" t="s">
        <v>8</v>
      </c>
      <c r="E308" s="2"/>
      <c r="F308" s="2" t="s">
        <v>33</v>
      </c>
      <c r="G308" s="2" t="s">
        <v>201</v>
      </c>
      <c r="H308" s="2" t="s">
        <v>16</v>
      </c>
    </row>
    <row r="309" spans="1:8" x14ac:dyDescent="0.3">
      <c r="A309" s="2" t="str">
        <f>HYPERLINK("https://hsdes.intel.com/resource/14013174685","14013174685")</f>
        <v>14013174685</v>
      </c>
      <c r="B309" s="2" t="s">
        <v>659</v>
      </c>
      <c r="C309" s="2" t="s">
        <v>658</v>
      </c>
      <c r="D309" s="6" t="s">
        <v>8</v>
      </c>
      <c r="E309" s="2"/>
      <c r="F309" s="2" t="s">
        <v>33</v>
      </c>
      <c r="G309" s="2" t="s">
        <v>660</v>
      </c>
      <c r="H309" s="2" t="s">
        <v>16</v>
      </c>
    </row>
    <row r="310" spans="1:8" x14ac:dyDescent="0.3">
      <c r="A310" s="2" t="str">
        <f>HYPERLINK("https://hsdes.intel.com/resource/14013174718","14013174718")</f>
        <v>14013174718</v>
      </c>
      <c r="B310" s="2" t="s">
        <v>662</v>
      </c>
      <c r="C310" s="2" t="s">
        <v>661</v>
      </c>
      <c r="D310" s="6" t="s">
        <v>8</v>
      </c>
      <c r="E310" s="2"/>
      <c r="F310" s="2" t="s">
        <v>33</v>
      </c>
      <c r="G310" s="2" t="s">
        <v>201</v>
      </c>
      <c r="H310" s="2" t="s">
        <v>16</v>
      </c>
    </row>
    <row r="311" spans="1:8" x14ac:dyDescent="0.3">
      <c r="A311" s="2" t="str">
        <f>HYPERLINK("https://hsdes.intel.com/resource/14013174731","14013174731")</f>
        <v>14013174731</v>
      </c>
      <c r="B311" s="2" t="s">
        <v>664</v>
      </c>
      <c r="C311" s="2" t="s">
        <v>663</v>
      </c>
      <c r="D311" s="6" t="s">
        <v>8</v>
      </c>
      <c r="E311" s="2"/>
      <c r="F311" s="2" t="s">
        <v>33</v>
      </c>
      <c r="G311" s="2" t="s">
        <v>201</v>
      </c>
      <c r="H311" s="2" t="s">
        <v>16</v>
      </c>
    </row>
    <row r="312" spans="1:8" x14ac:dyDescent="0.3">
      <c r="A312" s="2" t="str">
        <f>HYPERLINK("https://hsdes.intel.com/resource/14013174768","14013174768")</f>
        <v>14013174768</v>
      </c>
      <c r="B312" s="2" t="s">
        <v>666</v>
      </c>
      <c r="C312" s="2" t="s">
        <v>665</v>
      </c>
      <c r="D312" s="6" t="s">
        <v>8</v>
      </c>
      <c r="E312" s="2"/>
      <c r="F312" s="2" t="s">
        <v>33</v>
      </c>
      <c r="G312" s="2" t="s">
        <v>155</v>
      </c>
      <c r="H312" s="2" t="s">
        <v>16</v>
      </c>
    </row>
    <row r="313" spans="1:8" x14ac:dyDescent="0.3">
      <c r="A313" s="2" t="str">
        <f>HYPERLINK("https://hsdes.intel.com/resource/14013174814","14013174814")</f>
        <v>14013174814</v>
      </c>
      <c r="B313" s="2" t="s">
        <v>668</v>
      </c>
      <c r="C313" s="2" t="s">
        <v>667</v>
      </c>
      <c r="D313" s="6" t="s">
        <v>8</v>
      </c>
      <c r="E313" s="2"/>
      <c r="F313" s="2" t="s">
        <v>33</v>
      </c>
      <c r="G313" s="2" t="s">
        <v>201</v>
      </c>
      <c r="H313" s="2" t="s">
        <v>16</v>
      </c>
    </row>
    <row r="314" spans="1:8" x14ac:dyDescent="0.3">
      <c r="A314" s="2" t="str">
        <f>HYPERLINK("https://hsdes.intel.com/resource/14013174979","14013174979")</f>
        <v>14013174979</v>
      </c>
      <c r="B314" s="2" t="s">
        <v>670</v>
      </c>
      <c r="C314" s="2" t="s">
        <v>669</v>
      </c>
      <c r="D314" s="6" t="s">
        <v>8</v>
      </c>
      <c r="E314" s="2"/>
      <c r="F314" s="2" t="s">
        <v>33</v>
      </c>
      <c r="G314" s="2" t="s">
        <v>34</v>
      </c>
      <c r="H314" s="2" t="s">
        <v>11</v>
      </c>
    </row>
    <row r="315" spans="1:8" x14ac:dyDescent="0.3">
      <c r="A315" s="2" t="str">
        <f>HYPERLINK("https://hsdes.intel.com/resource/14013174987","14013174987")</f>
        <v>14013174987</v>
      </c>
      <c r="B315" s="2" t="s">
        <v>672</v>
      </c>
      <c r="C315" s="2" t="s">
        <v>671</v>
      </c>
      <c r="D315" s="6" t="s">
        <v>8</v>
      </c>
      <c r="E315" s="2"/>
      <c r="F315" s="2" t="s">
        <v>33</v>
      </c>
      <c r="G315" s="2" t="s">
        <v>34</v>
      </c>
      <c r="H315" s="2" t="s">
        <v>11</v>
      </c>
    </row>
    <row r="316" spans="1:8" x14ac:dyDescent="0.3">
      <c r="A316" s="2" t="str">
        <f>HYPERLINK("https://hsdes.intel.com/resource/14013175110","14013175110")</f>
        <v>14013175110</v>
      </c>
      <c r="B316" s="2" t="s">
        <v>674</v>
      </c>
      <c r="C316" s="2" t="s">
        <v>673</v>
      </c>
      <c r="D316" s="6" t="s">
        <v>8</v>
      </c>
      <c r="E316" s="2"/>
      <c r="F316" s="2" t="s">
        <v>33</v>
      </c>
      <c r="G316" s="2" t="s">
        <v>201</v>
      </c>
      <c r="H316" s="2" t="s">
        <v>11</v>
      </c>
    </row>
    <row r="317" spans="1:8" x14ac:dyDescent="0.3">
      <c r="A317" s="2" t="str">
        <f>HYPERLINK("https://hsdes.intel.com/resource/14013175415","14013175415")</f>
        <v>14013175415</v>
      </c>
      <c r="B317" s="2" t="s">
        <v>676</v>
      </c>
      <c r="C317" s="2" t="s">
        <v>675</v>
      </c>
      <c r="D317" s="6" t="s">
        <v>8</v>
      </c>
      <c r="E317" s="2"/>
      <c r="F317" s="2" t="s">
        <v>33</v>
      </c>
      <c r="G317" s="2" t="s">
        <v>629</v>
      </c>
      <c r="H317" s="2" t="s">
        <v>11</v>
      </c>
    </row>
    <row r="318" spans="1:8" x14ac:dyDescent="0.3">
      <c r="A318" s="2" t="str">
        <f>HYPERLINK("https://hsdes.intel.com/resource/14013175416","14013175416")</f>
        <v>14013175416</v>
      </c>
      <c r="B318" s="2" t="s">
        <v>678</v>
      </c>
      <c r="C318" s="2" t="s">
        <v>677</v>
      </c>
      <c r="D318" s="6" t="s">
        <v>8</v>
      </c>
      <c r="E318" s="2"/>
      <c r="F318" s="2" t="s">
        <v>33</v>
      </c>
      <c r="G318" s="2" t="s">
        <v>201</v>
      </c>
      <c r="H318" s="2" t="s">
        <v>16</v>
      </c>
    </row>
    <row r="319" spans="1:8" x14ac:dyDescent="0.3">
      <c r="A319" s="2" t="str">
        <f>HYPERLINK("https://hsdes.intel.com/resource/14013175421","14013175421")</f>
        <v>14013175421</v>
      </c>
      <c r="B319" s="2" t="s">
        <v>680</v>
      </c>
      <c r="C319" s="2" t="s">
        <v>679</v>
      </c>
      <c r="D319" s="6" t="s">
        <v>8</v>
      </c>
      <c r="E319" s="2"/>
      <c r="F319" s="2" t="s">
        <v>33</v>
      </c>
      <c r="G319" s="2" t="s">
        <v>201</v>
      </c>
      <c r="H319" s="2" t="s">
        <v>16</v>
      </c>
    </row>
    <row r="320" spans="1:8" x14ac:dyDescent="0.3">
      <c r="A320" s="2" t="str">
        <f>HYPERLINK("https://hsdes.intel.com/resource/14013175465","14013175465")</f>
        <v>14013175465</v>
      </c>
      <c r="B320" s="2" t="s">
        <v>682</v>
      </c>
      <c r="C320" s="2" t="s">
        <v>681</v>
      </c>
      <c r="D320" s="6" t="s">
        <v>8</v>
      </c>
      <c r="E320" s="2"/>
      <c r="F320" s="2" t="s">
        <v>33</v>
      </c>
      <c r="G320" s="2" t="s">
        <v>201</v>
      </c>
      <c r="H320" s="2" t="s">
        <v>16</v>
      </c>
    </row>
    <row r="321" spans="1:8" x14ac:dyDescent="0.3">
      <c r="A321" s="2" t="str">
        <f>HYPERLINK("https://hsdes.intel.com/resource/14013175473","14013175473")</f>
        <v>14013175473</v>
      </c>
      <c r="B321" s="2" t="s">
        <v>684</v>
      </c>
      <c r="C321" s="2" t="s">
        <v>683</v>
      </c>
      <c r="D321" s="6" t="s">
        <v>8</v>
      </c>
      <c r="E321" s="2"/>
      <c r="F321" s="2" t="s">
        <v>33</v>
      </c>
      <c r="G321" s="2" t="s">
        <v>201</v>
      </c>
      <c r="H321" s="2" t="s">
        <v>16</v>
      </c>
    </row>
    <row r="322" spans="1:8" x14ac:dyDescent="0.3">
      <c r="A322" s="2" t="str">
        <f>HYPERLINK("https://hsdes.intel.com/resource/14013175486","14013175486")</f>
        <v>14013175486</v>
      </c>
      <c r="B322" s="2" t="s">
        <v>686</v>
      </c>
      <c r="C322" s="2" t="s">
        <v>685</v>
      </c>
      <c r="D322" s="6" t="s">
        <v>8</v>
      </c>
      <c r="E322" s="2"/>
      <c r="F322" s="2" t="s">
        <v>33</v>
      </c>
      <c r="G322" s="2" t="s">
        <v>660</v>
      </c>
      <c r="H322" s="2" t="s">
        <v>16</v>
      </c>
    </row>
    <row r="323" spans="1:8" x14ac:dyDescent="0.3">
      <c r="A323" s="2" t="str">
        <f>HYPERLINK("https://hsdes.intel.com/resource/14013175598","14013175598")</f>
        <v>14013175598</v>
      </c>
      <c r="B323" s="2" t="s">
        <v>688</v>
      </c>
      <c r="C323" s="2" t="s">
        <v>687</v>
      </c>
      <c r="D323" s="6" t="s">
        <v>8</v>
      </c>
      <c r="E323" s="2"/>
      <c r="F323" s="2" t="s">
        <v>37</v>
      </c>
      <c r="G323" s="2" t="s">
        <v>98</v>
      </c>
      <c r="H323" s="2" t="s">
        <v>16</v>
      </c>
    </row>
    <row r="324" spans="1:8" x14ac:dyDescent="0.3">
      <c r="A324" s="2" t="str">
        <f>HYPERLINK("https://hsdes.intel.com/resource/14013175628","14013175628")</f>
        <v>14013175628</v>
      </c>
      <c r="B324" s="2" t="s">
        <v>690</v>
      </c>
      <c r="C324" s="2" t="s">
        <v>689</v>
      </c>
      <c r="D324" s="6" t="s">
        <v>8</v>
      </c>
      <c r="E324" s="2"/>
      <c r="F324" s="2" t="s">
        <v>29</v>
      </c>
      <c r="G324" s="2" t="s">
        <v>30</v>
      </c>
      <c r="H324" s="2" t="s">
        <v>11</v>
      </c>
    </row>
    <row r="325" spans="1:8" x14ac:dyDescent="0.3">
      <c r="A325" s="2" t="str">
        <f>HYPERLINK("https://hsdes.intel.com/resource/14013175646","14013175646")</f>
        <v>14013175646</v>
      </c>
      <c r="B325" s="2" t="s">
        <v>692</v>
      </c>
      <c r="C325" s="2" t="s">
        <v>691</v>
      </c>
      <c r="D325" s="6" t="s">
        <v>8</v>
      </c>
      <c r="E325" s="2"/>
      <c r="F325" s="2" t="s">
        <v>37</v>
      </c>
      <c r="G325" s="2" t="s">
        <v>98</v>
      </c>
      <c r="H325" s="2" t="s">
        <v>16</v>
      </c>
    </row>
    <row r="326" spans="1:8" x14ac:dyDescent="0.3">
      <c r="A326" s="2" t="str">
        <f>HYPERLINK("https://hsdes.intel.com/resource/14013175738","14013175738")</f>
        <v>14013175738</v>
      </c>
      <c r="B326" s="2" t="s">
        <v>694</v>
      </c>
      <c r="C326" s="2" t="s">
        <v>693</v>
      </c>
      <c r="D326" s="6" t="s">
        <v>8</v>
      </c>
      <c r="E326" s="2"/>
      <c r="F326" s="2" t="s">
        <v>638</v>
      </c>
      <c r="G326" s="2" t="s">
        <v>695</v>
      </c>
      <c r="H326" s="2" t="s">
        <v>11</v>
      </c>
    </row>
    <row r="327" spans="1:8" x14ac:dyDescent="0.3">
      <c r="A327" s="2" t="str">
        <f>HYPERLINK("https://hsdes.intel.com/resource/14013175857","14013175857")</f>
        <v>14013175857</v>
      </c>
      <c r="B327" s="2" t="s">
        <v>697</v>
      </c>
      <c r="C327" s="2" t="s">
        <v>696</v>
      </c>
      <c r="D327" s="6" t="s">
        <v>8</v>
      </c>
      <c r="E327" s="2"/>
      <c r="F327" s="2" t="s">
        <v>25</v>
      </c>
      <c r="G327" s="2" t="s">
        <v>26</v>
      </c>
      <c r="H327" s="2" t="s">
        <v>16</v>
      </c>
    </row>
    <row r="328" spans="1:8" x14ac:dyDescent="0.3">
      <c r="A328" s="2" t="str">
        <f>HYPERLINK("https://hsdes.intel.com/resource/14013176015","14013176015")</f>
        <v>14013176015</v>
      </c>
      <c r="B328" s="2" t="s">
        <v>699</v>
      </c>
      <c r="C328" s="2" t="s">
        <v>698</v>
      </c>
      <c r="D328" s="6" t="s">
        <v>8</v>
      </c>
      <c r="E328" s="2"/>
      <c r="F328" s="2" t="s">
        <v>208</v>
      </c>
      <c r="G328" s="2" t="s">
        <v>209</v>
      </c>
      <c r="H328" s="2" t="s">
        <v>11</v>
      </c>
    </row>
    <row r="329" spans="1:8" x14ac:dyDescent="0.3">
      <c r="A329" s="2" t="str">
        <f>HYPERLINK("https://hsdes.intel.com/resource/14013176057","14013176057")</f>
        <v>14013176057</v>
      </c>
      <c r="B329" s="2" t="s">
        <v>701</v>
      </c>
      <c r="C329" s="2" t="s">
        <v>700</v>
      </c>
      <c r="D329" s="6" t="s">
        <v>8</v>
      </c>
      <c r="E329" s="2"/>
      <c r="F329" s="2" t="s">
        <v>62</v>
      </c>
      <c r="G329" s="2" t="s">
        <v>63</v>
      </c>
      <c r="H329" s="2" t="s">
        <v>16</v>
      </c>
    </row>
    <row r="330" spans="1:8" x14ac:dyDescent="0.3">
      <c r="A330" s="2" t="str">
        <f>HYPERLINK("https://hsdes.intel.com/resource/14013176061","14013176061")</f>
        <v>14013176061</v>
      </c>
      <c r="B330" s="2" t="s">
        <v>703</v>
      </c>
      <c r="C330" s="2" t="s">
        <v>702</v>
      </c>
      <c r="D330" s="6" t="s">
        <v>8</v>
      </c>
      <c r="E330" s="2"/>
      <c r="F330" s="2" t="s">
        <v>62</v>
      </c>
      <c r="G330" s="2" t="s">
        <v>63</v>
      </c>
      <c r="H330" s="2" t="s">
        <v>16</v>
      </c>
    </row>
    <row r="331" spans="1:8" x14ac:dyDescent="0.3">
      <c r="A331" s="2" t="str">
        <f>HYPERLINK("https://hsdes.intel.com/resource/14013176141","14013176141")</f>
        <v>14013176141</v>
      </c>
      <c r="B331" s="2" t="s">
        <v>705</v>
      </c>
      <c r="C331" s="2" t="s">
        <v>704</v>
      </c>
      <c r="D331" s="6" t="s">
        <v>8</v>
      </c>
      <c r="E331" s="2"/>
      <c r="F331" s="2" t="s">
        <v>29</v>
      </c>
      <c r="G331" s="2" t="s">
        <v>706</v>
      </c>
      <c r="H331" s="2" t="s">
        <v>16</v>
      </c>
    </row>
    <row r="332" spans="1:8" x14ac:dyDescent="0.3">
      <c r="A332" s="2" t="str">
        <f>HYPERLINK("https://hsdes.intel.com/resource/14013176151","14013176151")</f>
        <v>14013176151</v>
      </c>
      <c r="B332" s="2" t="s">
        <v>708</v>
      </c>
      <c r="C332" s="2" t="s">
        <v>707</v>
      </c>
      <c r="D332" s="6" t="s">
        <v>8</v>
      </c>
      <c r="E332" s="2"/>
      <c r="F332" s="2" t="s">
        <v>638</v>
      </c>
      <c r="G332" s="2" t="s">
        <v>709</v>
      </c>
      <c r="H332" s="2" t="s">
        <v>16</v>
      </c>
    </row>
    <row r="333" spans="1:8" x14ac:dyDescent="0.3">
      <c r="A333" s="2" t="str">
        <f>HYPERLINK("https://hsdes.intel.com/resource/14013176281","14013176281")</f>
        <v>14013176281</v>
      </c>
      <c r="B333" s="2" t="s">
        <v>711</v>
      </c>
      <c r="C333" s="2" t="s">
        <v>710</v>
      </c>
      <c r="D333" s="6" t="s">
        <v>8</v>
      </c>
      <c r="E333" s="2"/>
      <c r="F333" s="2" t="s">
        <v>135</v>
      </c>
      <c r="G333" s="2" t="s">
        <v>136</v>
      </c>
      <c r="H333" s="2" t="s">
        <v>11</v>
      </c>
    </row>
    <row r="334" spans="1:8" x14ac:dyDescent="0.3">
      <c r="A334" s="2" t="str">
        <f>HYPERLINK("https://hsdes.intel.com/resource/14013176385","14013176385")</f>
        <v>14013176385</v>
      </c>
      <c r="B334" s="2" t="s">
        <v>713</v>
      </c>
      <c r="C334" s="2" t="s">
        <v>712</v>
      </c>
      <c r="D334" s="6" t="s">
        <v>8</v>
      </c>
      <c r="E334" s="2"/>
      <c r="F334" s="2" t="s">
        <v>37</v>
      </c>
      <c r="G334" s="2" t="s">
        <v>136</v>
      </c>
      <c r="H334" s="2" t="s">
        <v>16</v>
      </c>
    </row>
    <row r="335" spans="1:8" x14ac:dyDescent="0.3">
      <c r="A335" s="2" t="str">
        <f>HYPERLINK("https://hsdes.intel.com/resource/14013176415","14013176415")</f>
        <v>14013176415</v>
      </c>
      <c r="B335" s="2" t="s">
        <v>715</v>
      </c>
      <c r="C335" s="2" t="s">
        <v>714</v>
      </c>
      <c r="D335" s="6" t="s">
        <v>8</v>
      </c>
      <c r="E335" s="2"/>
      <c r="F335" s="2" t="s">
        <v>208</v>
      </c>
      <c r="G335" s="2" t="s">
        <v>209</v>
      </c>
      <c r="H335" s="2" t="s">
        <v>11</v>
      </c>
    </row>
    <row r="336" spans="1:8" x14ac:dyDescent="0.3">
      <c r="A336" s="2" t="str">
        <f>HYPERLINK("https://hsdes.intel.com/resource/14013176467","14013176467")</f>
        <v>14013176467</v>
      </c>
      <c r="B336" s="2" t="s">
        <v>717</v>
      </c>
      <c r="C336" s="2" t="s">
        <v>716</v>
      </c>
      <c r="D336" s="6" t="s">
        <v>8</v>
      </c>
      <c r="E336" s="2"/>
      <c r="F336" s="2" t="s">
        <v>638</v>
      </c>
      <c r="G336" s="2" t="s">
        <v>709</v>
      </c>
      <c r="H336" s="2" t="s">
        <v>41</v>
      </c>
    </row>
    <row r="337" spans="1:8" x14ac:dyDescent="0.3">
      <c r="A337" s="2" t="str">
        <f>HYPERLINK("https://hsdes.intel.com/resource/14013176475","14013176475")</f>
        <v>14013176475</v>
      </c>
      <c r="B337" s="2" t="s">
        <v>719</v>
      </c>
      <c r="C337" s="2" t="s">
        <v>718</v>
      </c>
      <c r="D337" s="6" t="s">
        <v>8</v>
      </c>
      <c r="E337" s="2"/>
      <c r="F337" s="2" t="s">
        <v>558</v>
      </c>
      <c r="G337" s="2" t="s">
        <v>559</v>
      </c>
      <c r="H337" s="2" t="s">
        <v>16</v>
      </c>
    </row>
    <row r="338" spans="1:8" x14ac:dyDescent="0.3">
      <c r="A338" s="2" t="str">
        <f>HYPERLINK("https://hsdes.intel.com/resource/14013176496","14013176496")</f>
        <v>14013176496</v>
      </c>
      <c r="B338" s="2" t="s">
        <v>721</v>
      </c>
      <c r="C338" s="2" t="s">
        <v>720</v>
      </c>
      <c r="D338" s="6" t="s">
        <v>8</v>
      </c>
      <c r="E338" s="2"/>
      <c r="F338" s="2" t="s">
        <v>558</v>
      </c>
      <c r="G338" s="2" t="s">
        <v>559</v>
      </c>
      <c r="H338" s="2" t="s">
        <v>16</v>
      </c>
    </row>
    <row r="339" spans="1:8" x14ac:dyDescent="0.3">
      <c r="A339" s="2" t="str">
        <f>HYPERLINK("https://hsdes.intel.com/resource/14013176644","14013176644")</f>
        <v>14013176644</v>
      </c>
      <c r="B339" s="2" t="s">
        <v>723</v>
      </c>
      <c r="C339" s="2" t="s">
        <v>722</v>
      </c>
      <c r="D339" s="6" t="s">
        <v>8</v>
      </c>
      <c r="E339" s="2"/>
      <c r="F339" s="2" t="s">
        <v>208</v>
      </c>
      <c r="G339" s="2" t="s">
        <v>209</v>
      </c>
      <c r="H339" s="2" t="s">
        <v>16</v>
      </c>
    </row>
    <row r="340" spans="1:8" x14ac:dyDescent="0.3">
      <c r="A340" s="2" t="str">
        <f>HYPERLINK("https://hsdes.intel.com/resource/14013176650","14013176650")</f>
        <v>14013176650</v>
      </c>
      <c r="B340" s="2" t="s">
        <v>725</v>
      </c>
      <c r="C340" s="2" t="s">
        <v>724</v>
      </c>
      <c r="D340" s="6" t="s">
        <v>8</v>
      </c>
      <c r="E340" s="2"/>
      <c r="F340" s="2" t="s">
        <v>208</v>
      </c>
      <c r="G340" s="2" t="s">
        <v>209</v>
      </c>
      <c r="H340" s="2" t="s">
        <v>16</v>
      </c>
    </row>
    <row r="341" spans="1:8" x14ac:dyDescent="0.3">
      <c r="A341" s="2" t="str">
        <f>HYPERLINK("https://hsdes.intel.com/resource/14013176664","14013176664")</f>
        <v>14013176664</v>
      </c>
      <c r="B341" s="2" t="s">
        <v>727</v>
      </c>
      <c r="C341" s="2" t="s">
        <v>726</v>
      </c>
      <c r="D341" s="6" t="s">
        <v>8</v>
      </c>
      <c r="E341" s="2"/>
      <c r="F341" s="2" t="s">
        <v>208</v>
      </c>
      <c r="G341" s="2" t="s">
        <v>209</v>
      </c>
      <c r="H341" s="2" t="s">
        <v>41</v>
      </c>
    </row>
    <row r="342" spans="1:8" x14ac:dyDescent="0.3">
      <c r="A342" s="2" t="str">
        <f>HYPERLINK("https://hsdes.intel.com/resource/14013176673","14013176673")</f>
        <v>14013176673</v>
      </c>
      <c r="B342" s="2" t="s">
        <v>729</v>
      </c>
      <c r="C342" s="2" t="s">
        <v>728</v>
      </c>
      <c r="D342" s="6" t="s">
        <v>8</v>
      </c>
      <c r="E342" s="2"/>
      <c r="F342" s="2" t="s">
        <v>208</v>
      </c>
      <c r="G342" s="2" t="s">
        <v>209</v>
      </c>
      <c r="H342" s="2" t="s">
        <v>41</v>
      </c>
    </row>
    <row r="343" spans="1:8" x14ac:dyDescent="0.3">
      <c r="A343" s="2" t="str">
        <f>HYPERLINK("https://hsdes.intel.com/resource/14013176789","14013176789")</f>
        <v>14013176789</v>
      </c>
      <c r="B343" s="2" t="s">
        <v>731</v>
      </c>
      <c r="C343" s="2" t="s">
        <v>730</v>
      </c>
      <c r="D343" s="6" t="s">
        <v>8</v>
      </c>
      <c r="E343" s="2"/>
      <c r="F343" s="2" t="s">
        <v>638</v>
      </c>
      <c r="G343" s="2" t="s">
        <v>706</v>
      </c>
      <c r="H343" s="2" t="s">
        <v>16</v>
      </c>
    </row>
    <row r="344" spans="1:8" x14ac:dyDescent="0.3">
      <c r="A344" s="2" t="str">
        <f>HYPERLINK("https://hsdes.intel.com/resource/14013176861","14013176861")</f>
        <v>14013176861</v>
      </c>
      <c r="B344" s="2" t="s">
        <v>733</v>
      </c>
      <c r="C344" s="2" t="s">
        <v>732</v>
      </c>
      <c r="D344" s="6" t="s">
        <v>8</v>
      </c>
      <c r="E344" s="2"/>
      <c r="F344" s="2" t="s">
        <v>638</v>
      </c>
      <c r="G344" s="2" t="s">
        <v>709</v>
      </c>
      <c r="H344" s="2" t="s">
        <v>16</v>
      </c>
    </row>
    <row r="345" spans="1:8" x14ac:dyDescent="0.3">
      <c r="A345" s="2" t="str">
        <f>HYPERLINK("https://hsdes.intel.com/resource/14013176928","14013176928")</f>
        <v>14013176928</v>
      </c>
      <c r="B345" s="2" t="s">
        <v>735</v>
      </c>
      <c r="C345" s="2" t="s">
        <v>734</v>
      </c>
      <c r="D345" s="6" t="s">
        <v>8</v>
      </c>
      <c r="E345" s="2"/>
      <c r="F345" s="2" t="s">
        <v>208</v>
      </c>
      <c r="G345" s="2" t="s">
        <v>209</v>
      </c>
      <c r="H345" s="2" t="s">
        <v>11</v>
      </c>
    </row>
    <row r="346" spans="1:8" x14ac:dyDescent="0.3">
      <c r="A346" s="2" t="str">
        <f>HYPERLINK("https://hsdes.intel.com/resource/14013176948","14013176948")</f>
        <v>14013176948</v>
      </c>
      <c r="B346" s="2" t="s">
        <v>737</v>
      </c>
      <c r="C346" s="2" t="s">
        <v>736</v>
      </c>
      <c r="D346" s="6" t="s">
        <v>8</v>
      </c>
      <c r="E346" s="2"/>
      <c r="F346" s="2" t="s">
        <v>638</v>
      </c>
      <c r="G346" s="2" t="s">
        <v>709</v>
      </c>
      <c r="H346" s="2" t="s">
        <v>16</v>
      </c>
    </row>
    <row r="347" spans="1:8" x14ac:dyDescent="0.3">
      <c r="A347" s="2" t="str">
        <f>HYPERLINK("https://hsdes.intel.com/resource/14013176953","14013176953")</f>
        <v>14013176953</v>
      </c>
      <c r="B347" s="2" t="s">
        <v>739</v>
      </c>
      <c r="C347" s="2" t="s">
        <v>738</v>
      </c>
      <c r="D347" s="7" t="s">
        <v>88</v>
      </c>
      <c r="E347" s="2" t="s">
        <v>1252</v>
      </c>
      <c r="F347" s="2" t="s">
        <v>638</v>
      </c>
      <c r="G347" s="2" t="s">
        <v>30</v>
      </c>
      <c r="H347" s="2" t="s">
        <v>11</v>
      </c>
    </row>
    <row r="348" spans="1:8" x14ac:dyDescent="0.3">
      <c r="A348" s="2" t="str">
        <f>HYPERLINK("https://hsdes.intel.com/resource/14013176958","14013176958")</f>
        <v>14013176958</v>
      </c>
      <c r="B348" s="2" t="s">
        <v>741</v>
      </c>
      <c r="C348" s="2" t="s">
        <v>740</v>
      </c>
      <c r="D348" s="6" t="s">
        <v>8</v>
      </c>
      <c r="E348" s="2"/>
      <c r="F348" s="2" t="s">
        <v>638</v>
      </c>
      <c r="G348" s="2" t="s">
        <v>706</v>
      </c>
      <c r="H348" s="2" t="s">
        <v>16</v>
      </c>
    </row>
    <row r="349" spans="1:8" x14ac:dyDescent="0.3">
      <c r="A349" s="2" t="str">
        <f>HYPERLINK("https://hsdes.intel.com/resource/14013176969","14013176969")</f>
        <v>14013176969</v>
      </c>
      <c r="B349" s="2" t="s">
        <v>743</v>
      </c>
      <c r="C349" s="2" t="s">
        <v>742</v>
      </c>
      <c r="D349" s="6" t="s">
        <v>8</v>
      </c>
      <c r="E349" s="2"/>
      <c r="F349" s="2" t="s">
        <v>638</v>
      </c>
      <c r="G349" s="2" t="s">
        <v>709</v>
      </c>
      <c r="H349" s="2" t="s">
        <v>41</v>
      </c>
    </row>
    <row r="350" spans="1:8" x14ac:dyDescent="0.3">
      <c r="A350" s="2" t="str">
        <f>HYPERLINK("https://hsdes.intel.com/resource/14013176972","14013176972")</f>
        <v>14013176972</v>
      </c>
      <c r="B350" s="2" t="s">
        <v>745</v>
      </c>
      <c r="C350" s="2" t="s">
        <v>744</v>
      </c>
      <c r="D350" s="6" t="s">
        <v>8</v>
      </c>
      <c r="E350" s="2"/>
      <c r="F350" s="2" t="s">
        <v>638</v>
      </c>
      <c r="G350" s="2" t="s">
        <v>709</v>
      </c>
      <c r="H350" s="2" t="s">
        <v>11</v>
      </c>
    </row>
    <row r="351" spans="1:8" x14ac:dyDescent="0.3">
      <c r="A351" s="2" t="str">
        <f>HYPERLINK("https://hsdes.intel.com/resource/14013177029","14013177029")</f>
        <v>14013177029</v>
      </c>
      <c r="B351" s="2" t="s">
        <v>747</v>
      </c>
      <c r="C351" s="2" t="s">
        <v>746</v>
      </c>
      <c r="D351" s="6" t="s">
        <v>8</v>
      </c>
      <c r="E351" s="2"/>
      <c r="F351" s="2" t="s">
        <v>558</v>
      </c>
      <c r="G351" s="2" t="s">
        <v>559</v>
      </c>
      <c r="H351" s="2" t="s">
        <v>16</v>
      </c>
    </row>
    <row r="352" spans="1:8" x14ac:dyDescent="0.3">
      <c r="A352" s="2" t="str">
        <f>HYPERLINK("https://hsdes.intel.com/resource/14013177170","14013177170")</f>
        <v>14013177170</v>
      </c>
      <c r="B352" s="2" t="s">
        <v>749</v>
      </c>
      <c r="C352" s="2" t="s">
        <v>748</v>
      </c>
      <c r="D352" s="6" t="s">
        <v>8</v>
      </c>
      <c r="E352" s="2"/>
      <c r="F352" s="2" t="s">
        <v>638</v>
      </c>
      <c r="G352" s="2" t="s">
        <v>709</v>
      </c>
      <c r="H352" s="2" t="s">
        <v>16</v>
      </c>
    </row>
    <row r="353" spans="1:8" x14ac:dyDescent="0.3">
      <c r="A353" s="2" t="str">
        <f>HYPERLINK("https://hsdes.intel.com/resource/14013177179","14013177179")</f>
        <v>14013177179</v>
      </c>
      <c r="B353" s="2" t="s">
        <v>751</v>
      </c>
      <c r="C353" s="2" t="s">
        <v>750</v>
      </c>
      <c r="D353" s="6" t="s">
        <v>8</v>
      </c>
      <c r="E353" s="2"/>
      <c r="F353" s="2" t="s">
        <v>638</v>
      </c>
      <c r="G353" s="2" t="s">
        <v>709</v>
      </c>
      <c r="H353" s="2" t="s">
        <v>16</v>
      </c>
    </row>
    <row r="354" spans="1:8" x14ac:dyDescent="0.3">
      <c r="A354" s="2" t="str">
        <f>HYPERLINK("https://hsdes.intel.com/resource/14013177249","14013177249")</f>
        <v>14013177249</v>
      </c>
      <c r="B354" s="2" t="s">
        <v>753</v>
      </c>
      <c r="C354" s="2" t="s">
        <v>752</v>
      </c>
      <c r="D354" s="6" t="s">
        <v>8</v>
      </c>
      <c r="E354" s="2"/>
      <c r="F354" s="2" t="s">
        <v>558</v>
      </c>
      <c r="G354" s="2" t="s">
        <v>559</v>
      </c>
      <c r="H354" s="2" t="s">
        <v>11</v>
      </c>
    </row>
    <row r="355" spans="1:8" x14ac:dyDescent="0.3">
      <c r="A355" s="2" t="str">
        <f>HYPERLINK("https://hsdes.intel.com/resource/14013177261","14013177261")</f>
        <v>14013177261</v>
      </c>
      <c r="B355" s="2" t="s">
        <v>755</v>
      </c>
      <c r="C355" s="2" t="s">
        <v>754</v>
      </c>
      <c r="D355" s="6" t="s">
        <v>8</v>
      </c>
      <c r="E355" s="2"/>
      <c r="F355" s="2" t="s">
        <v>638</v>
      </c>
      <c r="G355" s="2" t="s">
        <v>756</v>
      </c>
      <c r="H355" s="2" t="s">
        <v>41</v>
      </c>
    </row>
    <row r="356" spans="1:8" x14ac:dyDescent="0.3">
      <c r="A356" s="2" t="str">
        <f>HYPERLINK("https://hsdes.intel.com/resource/14013177264","14013177264")</f>
        <v>14013177264</v>
      </c>
      <c r="B356" s="2" t="s">
        <v>758</v>
      </c>
      <c r="C356" s="2" t="s">
        <v>757</v>
      </c>
      <c r="D356" s="6" t="s">
        <v>8</v>
      </c>
      <c r="E356" s="2"/>
      <c r="F356" s="2" t="s">
        <v>638</v>
      </c>
      <c r="G356" s="2" t="s">
        <v>756</v>
      </c>
      <c r="H356" s="2" t="s">
        <v>41</v>
      </c>
    </row>
    <row r="357" spans="1:8" x14ac:dyDescent="0.3">
      <c r="A357" s="2" t="str">
        <f>HYPERLINK("https://hsdes.intel.com/resource/14013177266","14013177266")</f>
        <v>14013177266</v>
      </c>
      <c r="B357" s="2" t="s">
        <v>760</v>
      </c>
      <c r="C357" s="2" t="s">
        <v>759</v>
      </c>
      <c r="D357" s="6" t="s">
        <v>8</v>
      </c>
      <c r="E357" s="2"/>
      <c r="F357" s="2" t="s">
        <v>638</v>
      </c>
      <c r="G357" s="2" t="s">
        <v>756</v>
      </c>
      <c r="H357" s="2" t="s">
        <v>41</v>
      </c>
    </row>
    <row r="358" spans="1:8" x14ac:dyDescent="0.3">
      <c r="A358" s="2" t="str">
        <f>HYPERLINK("https://hsdes.intel.com/resource/14013177269","14013177269")</f>
        <v>14013177269</v>
      </c>
      <c r="B358" s="2" t="s">
        <v>762</v>
      </c>
      <c r="C358" s="2" t="s">
        <v>761</v>
      </c>
      <c r="D358" s="6" t="s">
        <v>8</v>
      </c>
      <c r="E358" s="2"/>
      <c r="F358" s="2" t="s">
        <v>638</v>
      </c>
      <c r="G358" s="2" t="s">
        <v>706</v>
      </c>
      <c r="H358" s="2" t="s">
        <v>16</v>
      </c>
    </row>
    <row r="359" spans="1:8" x14ac:dyDescent="0.3">
      <c r="A359" s="2" t="str">
        <f>HYPERLINK("https://hsdes.intel.com/resource/14013177299","14013177299")</f>
        <v>14013177299</v>
      </c>
      <c r="B359" s="2" t="s">
        <v>764</v>
      </c>
      <c r="C359" s="2" t="s">
        <v>763</v>
      </c>
      <c r="D359" s="6" t="s">
        <v>8</v>
      </c>
      <c r="E359" s="2"/>
      <c r="F359" s="2" t="s">
        <v>638</v>
      </c>
      <c r="G359" s="2" t="s">
        <v>30</v>
      </c>
      <c r="H359" s="2" t="s">
        <v>16</v>
      </c>
    </row>
    <row r="360" spans="1:8" x14ac:dyDescent="0.3">
      <c r="A360" s="2" t="str">
        <f>HYPERLINK("https://hsdes.intel.com/resource/14013177396","14013177396")</f>
        <v>14013177396</v>
      </c>
      <c r="B360" s="2" t="s">
        <v>766</v>
      </c>
      <c r="C360" s="2" t="s">
        <v>765</v>
      </c>
      <c r="D360" s="6" t="s">
        <v>8</v>
      </c>
      <c r="E360" s="2"/>
      <c r="F360" s="2" t="s">
        <v>638</v>
      </c>
      <c r="G360" s="2" t="s">
        <v>30</v>
      </c>
      <c r="H360" s="2" t="s">
        <v>16</v>
      </c>
    </row>
    <row r="361" spans="1:8" x14ac:dyDescent="0.3">
      <c r="A361" s="2" t="str">
        <f>HYPERLINK("https://hsdes.intel.com/resource/14013177439","14013177439")</f>
        <v>14013177439</v>
      </c>
      <c r="B361" s="2" t="s">
        <v>768</v>
      </c>
      <c r="C361" s="2" t="s">
        <v>767</v>
      </c>
      <c r="D361" s="6" t="s">
        <v>8</v>
      </c>
      <c r="E361" s="2"/>
      <c r="F361" s="2" t="s">
        <v>638</v>
      </c>
      <c r="G361" s="2" t="s">
        <v>30</v>
      </c>
      <c r="H361" s="2" t="s">
        <v>16</v>
      </c>
    </row>
    <row r="362" spans="1:8" x14ac:dyDescent="0.3">
      <c r="A362" s="2" t="str">
        <f>HYPERLINK("https://hsdes.intel.com/resource/14013177652","14013177652")</f>
        <v>14013177652</v>
      </c>
      <c r="B362" s="2" t="s">
        <v>770</v>
      </c>
      <c r="C362" s="2" t="s">
        <v>769</v>
      </c>
      <c r="D362" s="6" t="s">
        <v>8</v>
      </c>
      <c r="E362" s="2"/>
      <c r="F362" s="2" t="s">
        <v>638</v>
      </c>
      <c r="G362" s="2" t="s">
        <v>709</v>
      </c>
      <c r="H362" s="2" t="s">
        <v>16</v>
      </c>
    </row>
    <row r="363" spans="1:8" x14ac:dyDescent="0.3">
      <c r="A363" s="2" t="str">
        <f>HYPERLINK("https://hsdes.intel.com/resource/14013177742","14013177742")</f>
        <v>14013177742</v>
      </c>
      <c r="B363" s="2" t="s">
        <v>772</v>
      </c>
      <c r="C363" s="2" t="s">
        <v>771</v>
      </c>
      <c r="D363" s="6" t="s">
        <v>8</v>
      </c>
      <c r="E363" s="2"/>
      <c r="F363" s="2" t="s">
        <v>558</v>
      </c>
      <c r="G363" s="2" t="s">
        <v>559</v>
      </c>
      <c r="H363" s="2" t="s">
        <v>41</v>
      </c>
    </row>
    <row r="364" spans="1:8" x14ac:dyDescent="0.3">
      <c r="A364" s="2" t="str">
        <f>HYPERLINK("https://hsdes.intel.com/resource/14013177761","14013177761")</f>
        <v>14013177761</v>
      </c>
      <c r="B364" s="2" t="s">
        <v>774</v>
      </c>
      <c r="C364" s="2" t="s">
        <v>773</v>
      </c>
      <c r="D364" s="6" t="s">
        <v>8</v>
      </c>
      <c r="E364" s="2"/>
      <c r="F364" s="2" t="s">
        <v>638</v>
      </c>
      <c r="G364" s="2" t="s">
        <v>709</v>
      </c>
      <c r="H364" s="2" t="s">
        <v>16</v>
      </c>
    </row>
    <row r="365" spans="1:8" x14ac:dyDescent="0.3">
      <c r="A365" s="2" t="str">
        <f>HYPERLINK("https://hsdes.intel.com/resource/14013177883","14013177883")</f>
        <v>14013177883</v>
      </c>
      <c r="B365" s="2" t="s">
        <v>776</v>
      </c>
      <c r="C365" s="2" t="s">
        <v>775</v>
      </c>
      <c r="D365" s="6" t="s">
        <v>8</v>
      </c>
      <c r="E365" s="2"/>
      <c r="F365" s="2" t="s">
        <v>135</v>
      </c>
      <c r="G365" s="2" t="s">
        <v>136</v>
      </c>
      <c r="H365" s="2" t="s">
        <v>11</v>
      </c>
    </row>
    <row r="366" spans="1:8" x14ac:dyDescent="0.3">
      <c r="A366" s="2" t="str">
        <f>HYPERLINK("https://hsdes.intel.com/resource/14013177900","14013177900")</f>
        <v>14013177900</v>
      </c>
      <c r="B366" s="2" t="s">
        <v>778</v>
      </c>
      <c r="C366" s="2" t="s">
        <v>777</v>
      </c>
      <c r="D366" s="6" t="s">
        <v>8</v>
      </c>
      <c r="E366" s="2"/>
      <c r="F366" s="2" t="s">
        <v>638</v>
      </c>
      <c r="G366" s="2" t="s">
        <v>709</v>
      </c>
      <c r="H366" s="2" t="s">
        <v>16</v>
      </c>
    </row>
    <row r="367" spans="1:8" x14ac:dyDescent="0.3">
      <c r="A367" s="2" t="str">
        <f>HYPERLINK("https://hsdes.intel.com/resource/14013177922","14013177922")</f>
        <v>14013177922</v>
      </c>
      <c r="B367" s="2" t="s">
        <v>780</v>
      </c>
      <c r="C367" s="2" t="s">
        <v>779</v>
      </c>
      <c r="D367" s="6" t="s">
        <v>8</v>
      </c>
      <c r="E367" s="2"/>
      <c r="F367" s="2" t="s">
        <v>33</v>
      </c>
      <c r="G367" s="2" t="s">
        <v>155</v>
      </c>
      <c r="H367" s="2" t="s">
        <v>16</v>
      </c>
    </row>
    <row r="368" spans="1:8" x14ac:dyDescent="0.3">
      <c r="A368" s="2" t="str">
        <f>HYPERLINK("https://hsdes.intel.com/resource/14013177930","14013177930")</f>
        <v>14013177930</v>
      </c>
      <c r="B368" s="2" t="s">
        <v>782</v>
      </c>
      <c r="C368" s="2" t="s">
        <v>781</v>
      </c>
      <c r="D368" s="6" t="s">
        <v>8</v>
      </c>
      <c r="E368" s="2"/>
      <c r="F368" s="2" t="s">
        <v>33</v>
      </c>
      <c r="G368" s="2" t="s">
        <v>155</v>
      </c>
      <c r="H368" s="2" t="s">
        <v>11</v>
      </c>
    </row>
    <row r="369" spans="1:8" x14ac:dyDescent="0.3">
      <c r="A369" s="2" t="str">
        <f>HYPERLINK("https://hsdes.intel.com/resource/14013177940","14013177940")</f>
        <v>14013177940</v>
      </c>
      <c r="B369" s="2" t="s">
        <v>784</v>
      </c>
      <c r="C369" s="2" t="s">
        <v>783</v>
      </c>
      <c r="D369" s="6" t="s">
        <v>8</v>
      </c>
      <c r="E369" s="2"/>
      <c r="F369" s="2" t="s">
        <v>33</v>
      </c>
      <c r="G369" s="2" t="s">
        <v>155</v>
      </c>
      <c r="H369" s="2" t="s">
        <v>16</v>
      </c>
    </row>
    <row r="370" spans="1:8" x14ac:dyDescent="0.3">
      <c r="A370" s="2" t="str">
        <f>HYPERLINK("https://hsdes.intel.com/resource/14013177947","14013177947")</f>
        <v>14013177947</v>
      </c>
      <c r="B370" s="2" t="s">
        <v>786</v>
      </c>
      <c r="C370" s="2" t="s">
        <v>785</v>
      </c>
      <c r="D370" s="6" t="s">
        <v>8</v>
      </c>
      <c r="E370" s="2"/>
      <c r="F370" s="2" t="s">
        <v>9</v>
      </c>
      <c r="G370" s="2" t="s">
        <v>155</v>
      </c>
      <c r="H370" s="2" t="s">
        <v>11</v>
      </c>
    </row>
    <row r="371" spans="1:8" x14ac:dyDescent="0.3">
      <c r="A371" s="2" t="str">
        <f>HYPERLINK("https://hsdes.intel.com/resource/14013177989","14013177989")</f>
        <v>14013177989</v>
      </c>
      <c r="B371" s="2" t="s">
        <v>788</v>
      </c>
      <c r="C371" s="2" t="s">
        <v>787</v>
      </c>
      <c r="D371" s="6" t="s">
        <v>8</v>
      </c>
      <c r="E371" s="2"/>
      <c r="F371" s="2" t="s">
        <v>558</v>
      </c>
      <c r="G371" s="2" t="s">
        <v>559</v>
      </c>
      <c r="H371" s="2" t="s">
        <v>11</v>
      </c>
    </row>
    <row r="372" spans="1:8" x14ac:dyDescent="0.3">
      <c r="A372" s="2" t="str">
        <f>HYPERLINK("https://hsdes.intel.com/resource/14013177993","14013177993")</f>
        <v>14013177993</v>
      </c>
      <c r="B372" s="2" t="s">
        <v>790</v>
      </c>
      <c r="C372" s="2" t="s">
        <v>789</v>
      </c>
      <c r="D372" s="6" t="s">
        <v>8</v>
      </c>
      <c r="E372" s="2"/>
      <c r="F372" s="2" t="s">
        <v>558</v>
      </c>
      <c r="G372" s="2" t="s">
        <v>559</v>
      </c>
      <c r="H372" s="2" t="s">
        <v>41</v>
      </c>
    </row>
    <row r="373" spans="1:8" x14ac:dyDescent="0.3">
      <c r="A373" s="2" t="str">
        <f>HYPERLINK("https://hsdes.intel.com/resource/14013178024","14013178024")</f>
        <v>14013178024</v>
      </c>
      <c r="B373" s="2" t="s">
        <v>792</v>
      </c>
      <c r="C373" s="2" t="s">
        <v>791</v>
      </c>
      <c r="D373" s="6" t="s">
        <v>8</v>
      </c>
      <c r="E373" s="2"/>
      <c r="F373" s="2" t="s">
        <v>558</v>
      </c>
      <c r="G373" s="2" t="s">
        <v>559</v>
      </c>
      <c r="H373" s="2" t="s">
        <v>41</v>
      </c>
    </row>
    <row r="374" spans="1:8" x14ac:dyDescent="0.3">
      <c r="A374" s="2" t="str">
        <f>HYPERLINK("https://hsdes.intel.com/resource/14013178085","14013178085")</f>
        <v>14013178085</v>
      </c>
      <c r="B374" s="2" t="s">
        <v>794</v>
      </c>
      <c r="C374" s="2" t="s">
        <v>793</v>
      </c>
      <c r="D374" s="6" t="s">
        <v>8</v>
      </c>
      <c r="E374" s="2"/>
      <c r="F374" s="2" t="s">
        <v>558</v>
      </c>
      <c r="G374" s="2" t="s">
        <v>559</v>
      </c>
      <c r="H374" s="2" t="s">
        <v>11</v>
      </c>
    </row>
    <row r="375" spans="1:8" x14ac:dyDescent="0.3">
      <c r="A375" s="2" t="str">
        <f>HYPERLINK("https://hsdes.intel.com/resource/14013178190","14013178190")</f>
        <v>14013178190</v>
      </c>
      <c r="B375" s="2" t="s">
        <v>796</v>
      </c>
      <c r="C375" s="2" t="s">
        <v>795</v>
      </c>
      <c r="D375" s="6" t="s">
        <v>8</v>
      </c>
      <c r="E375" s="2"/>
      <c r="F375" s="2" t="s">
        <v>33</v>
      </c>
      <c r="G375" s="2" t="s">
        <v>155</v>
      </c>
      <c r="H375" s="2" t="s">
        <v>16</v>
      </c>
    </row>
    <row r="376" spans="1:8" x14ac:dyDescent="0.3">
      <c r="A376" s="2" t="str">
        <f>HYPERLINK("https://hsdes.intel.com/resource/14013178252","14013178252")</f>
        <v>14013178252</v>
      </c>
      <c r="B376" s="2" t="s">
        <v>798</v>
      </c>
      <c r="C376" s="2" t="s">
        <v>797</v>
      </c>
      <c r="D376" s="6" t="s">
        <v>8</v>
      </c>
      <c r="E376" s="2"/>
      <c r="F376" s="2" t="s">
        <v>558</v>
      </c>
      <c r="G376" s="2" t="s">
        <v>799</v>
      </c>
      <c r="H376" s="2" t="s">
        <v>11</v>
      </c>
    </row>
    <row r="377" spans="1:8" x14ac:dyDescent="0.3">
      <c r="A377" s="2" t="str">
        <f>HYPERLINK("https://hsdes.intel.com/resource/14013178509","14013178509")</f>
        <v>14013178509</v>
      </c>
      <c r="B377" s="2" t="s">
        <v>801</v>
      </c>
      <c r="C377" s="2" t="s">
        <v>800</v>
      </c>
      <c r="D377" s="6" t="s">
        <v>8</v>
      </c>
      <c r="E377" s="2"/>
      <c r="F377" s="2" t="s">
        <v>558</v>
      </c>
      <c r="G377" s="2" t="s">
        <v>559</v>
      </c>
      <c r="H377" s="2" t="s">
        <v>16</v>
      </c>
    </row>
    <row r="378" spans="1:8" x14ac:dyDescent="0.3">
      <c r="A378" s="2" t="str">
        <f>HYPERLINK("https://hsdes.intel.com/resource/14013178927","14013178927")</f>
        <v>14013178927</v>
      </c>
      <c r="B378" s="2" t="s">
        <v>803</v>
      </c>
      <c r="C378" s="2" t="s">
        <v>802</v>
      </c>
      <c r="D378" s="6" t="s">
        <v>8</v>
      </c>
      <c r="E378" s="2"/>
      <c r="F378" s="2" t="s">
        <v>135</v>
      </c>
      <c r="G378" s="2" t="s">
        <v>136</v>
      </c>
      <c r="H378" s="2" t="s">
        <v>16</v>
      </c>
    </row>
    <row r="379" spans="1:8" x14ac:dyDescent="0.3">
      <c r="A379" s="2" t="str">
        <f>HYPERLINK("https://hsdes.intel.com/resource/14013178947","14013178947")</f>
        <v>14013178947</v>
      </c>
      <c r="B379" s="2" t="s">
        <v>805</v>
      </c>
      <c r="C379" s="2" t="s">
        <v>804</v>
      </c>
      <c r="D379" s="6" t="s">
        <v>8</v>
      </c>
      <c r="E379" s="2"/>
      <c r="F379" s="2" t="s">
        <v>33</v>
      </c>
      <c r="G379" s="2" t="s">
        <v>155</v>
      </c>
      <c r="H379" s="2" t="s">
        <v>16</v>
      </c>
    </row>
    <row r="380" spans="1:8" x14ac:dyDescent="0.3">
      <c r="A380" s="2" t="str">
        <f>HYPERLINK("https://hsdes.intel.com/resource/14013178956","14013178956")</f>
        <v>14013178956</v>
      </c>
      <c r="B380" s="2" t="s">
        <v>807</v>
      </c>
      <c r="C380" s="2" t="s">
        <v>806</v>
      </c>
      <c r="D380" s="6" t="s">
        <v>8</v>
      </c>
      <c r="E380" s="2"/>
      <c r="F380" s="2" t="s">
        <v>33</v>
      </c>
      <c r="G380" s="2" t="s">
        <v>155</v>
      </c>
      <c r="H380" s="2" t="s">
        <v>16</v>
      </c>
    </row>
    <row r="381" spans="1:8" x14ac:dyDescent="0.3">
      <c r="A381" s="2" t="str">
        <f>HYPERLINK("https://hsdes.intel.com/resource/14013179021","14013179021")</f>
        <v>14013179021</v>
      </c>
      <c r="B381" s="2" t="s">
        <v>809</v>
      </c>
      <c r="C381" s="2" t="s">
        <v>808</v>
      </c>
      <c r="D381" s="6" t="s">
        <v>8</v>
      </c>
      <c r="E381" s="2"/>
      <c r="F381" s="2" t="s">
        <v>558</v>
      </c>
      <c r="G381" s="2" t="s">
        <v>559</v>
      </c>
      <c r="H381" s="2" t="s">
        <v>41</v>
      </c>
    </row>
    <row r="382" spans="1:8" x14ac:dyDescent="0.3">
      <c r="A382" s="2" t="str">
        <f>HYPERLINK("https://hsdes.intel.com/resource/14013179092","14013179092")</f>
        <v>14013179092</v>
      </c>
      <c r="B382" s="2" t="s">
        <v>811</v>
      </c>
      <c r="C382" s="2" t="s">
        <v>810</v>
      </c>
      <c r="D382" s="6" t="s">
        <v>8</v>
      </c>
      <c r="E382" s="2"/>
      <c r="F382" s="2" t="s">
        <v>135</v>
      </c>
      <c r="G382" s="2" t="s">
        <v>136</v>
      </c>
      <c r="H382" s="2" t="s">
        <v>41</v>
      </c>
    </row>
    <row r="383" spans="1:8" x14ac:dyDescent="0.3">
      <c r="A383" s="2" t="str">
        <f>HYPERLINK("https://hsdes.intel.com/resource/14013179108","14013179108")</f>
        <v>14013179108</v>
      </c>
      <c r="B383" s="2" t="s">
        <v>813</v>
      </c>
      <c r="C383" s="2" t="s">
        <v>812</v>
      </c>
      <c r="D383" s="6" t="s">
        <v>8</v>
      </c>
      <c r="E383" s="2"/>
      <c r="F383" s="2" t="s">
        <v>33</v>
      </c>
      <c r="G383" s="2" t="s">
        <v>201</v>
      </c>
      <c r="H383" s="2" t="s">
        <v>16</v>
      </c>
    </row>
    <row r="384" spans="1:8" x14ac:dyDescent="0.3">
      <c r="A384" s="2" t="str">
        <f>HYPERLINK("https://hsdes.intel.com/resource/14013179115","14013179115")</f>
        <v>14013179115</v>
      </c>
      <c r="B384" s="2" t="s">
        <v>815</v>
      </c>
      <c r="C384" s="2" t="s">
        <v>814</v>
      </c>
      <c r="D384" s="6" t="s">
        <v>8</v>
      </c>
      <c r="E384" s="2"/>
      <c r="F384" s="2" t="s">
        <v>135</v>
      </c>
      <c r="G384" s="2" t="s">
        <v>136</v>
      </c>
      <c r="H384" s="2" t="s">
        <v>11</v>
      </c>
    </row>
    <row r="385" spans="1:8" x14ac:dyDescent="0.3">
      <c r="A385" s="2" t="str">
        <f>HYPERLINK("https://hsdes.intel.com/resource/14013179118","14013179118")</f>
        <v>14013179118</v>
      </c>
      <c r="B385" s="2" t="s">
        <v>817</v>
      </c>
      <c r="C385" s="2" t="s">
        <v>816</v>
      </c>
      <c r="D385" s="6" t="s">
        <v>8</v>
      </c>
      <c r="E385" s="2"/>
      <c r="F385" s="2" t="s">
        <v>135</v>
      </c>
      <c r="G385" s="2" t="s">
        <v>136</v>
      </c>
      <c r="H385" s="2" t="s">
        <v>11</v>
      </c>
    </row>
    <row r="386" spans="1:8" x14ac:dyDescent="0.3">
      <c r="A386" s="2" t="str">
        <f>HYPERLINK("https://hsdes.intel.com/resource/14013179142","14013179142")</f>
        <v>14013179142</v>
      </c>
      <c r="B386" s="2" t="s">
        <v>819</v>
      </c>
      <c r="C386" s="2" t="s">
        <v>818</v>
      </c>
      <c r="D386" s="6" t="s">
        <v>8</v>
      </c>
      <c r="E386" s="2"/>
      <c r="F386" s="2" t="s">
        <v>33</v>
      </c>
      <c r="G386" s="2" t="s">
        <v>155</v>
      </c>
      <c r="H386" s="2" t="s">
        <v>16</v>
      </c>
    </row>
    <row r="387" spans="1:8" x14ac:dyDescent="0.3">
      <c r="A387" s="2" t="str">
        <f>HYPERLINK("https://hsdes.intel.com/resource/14013179162","14013179162")</f>
        <v>14013179162</v>
      </c>
      <c r="B387" s="2" t="s">
        <v>821</v>
      </c>
      <c r="C387" s="2" t="s">
        <v>820</v>
      </c>
      <c r="D387" s="6" t="s">
        <v>8</v>
      </c>
      <c r="E387" s="2"/>
      <c r="F387" s="2" t="s">
        <v>33</v>
      </c>
      <c r="G387" s="2" t="s">
        <v>155</v>
      </c>
      <c r="H387" s="2" t="s">
        <v>11</v>
      </c>
    </row>
    <row r="388" spans="1:8" x14ac:dyDescent="0.3">
      <c r="A388" s="2" t="str">
        <f>HYPERLINK("https://hsdes.intel.com/resource/14013179166","14013179166")</f>
        <v>14013179166</v>
      </c>
      <c r="B388" s="2" t="s">
        <v>823</v>
      </c>
      <c r="C388" s="2" t="s">
        <v>822</v>
      </c>
      <c r="D388" s="6" t="s">
        <v>8</v>
      </c>
      <c r="E388" s="2"/>
      <c r="F388" s="2" t="s">
        <v>33</v>
      </c>
      <c r="G388" s="2" t="s">
        <v>155</v>
      </c>
      <c r="H388" s="2" t="s">
        <v>16</v>
      </c>
    </row>
    <row r="389" spans="1:8" x14ac:dyDescent="0.3">
      <c r="A389" s="2" t="str">
        <f>HYPERLINK("https://hsdes.intel.com/resource/14013179168","14013179168")</f>
        <v>14013179168</v>
      </c>
      <c r="B389" s="2" t="s">
        <v>825</v>
      </c>
      <c r="C389" s="2" t="s">
        <v>824</v>
      </c>
      <c r="D389" s="6" t="s">
        <v>8</v>
      </c>
      <c r="E389" s="2"/>
      <c r="F389" s="2" t="s">
        <v>33</v>
      </c>
      <c r="G389" s="2" t="s">
        <v>155</v>
      </c>
      <c r="H389" s="2" t="s">
        <v>11</v>
      </c>
    </row>
    <row r="390" spans="1:8" x14ac:dyDescent="0.3">
      <c r="A390" s="2" t="str">
        <f>HYPERLINK("https://hsdes.intel.com/resource/14013179171","14013179171")</f>
        <v>14013179171</v>
      </c>
      <c r="B390" s="2" t="s">
        <v>827</v>
      </c>
      <c r="C390" s="2" t="s">
        <v>826</v>
      </c>
      <c r="D390" s="6" t="s">
        <v>8</v>
      </c>
      <c r="E390" s="2"/>
      <c r="F390" s="2" t="s">
        <v>55</v>
      </c>
      <c r="G390" s="2" t="s">
        <v>30</v>
      </c>
      <c r="H390" s="2" t="s">
        <v>11</v>
      </c>
    </row>
    <row r="391" spans="1:8" x14ac:dyDescent="0.3">
      <c r="A391" s="2" t="str">
        <f>HYPERLINK("https://hsdes.intel.com/resource/14013179174","14013179174")</f>
        <v>14013179174</v>
      </c>
      <c r="B391" s="2" t="s">
        <v>829</v>
      </c>
      <c r="C391" s="2" t="s">
        <v>828</v>
      </c>
      <c r="D391" s="6" t="s">
        <v>8</v>
      </c>
      <c r="E391" s="2"/>
      <c r="F391" s="2" t="s">
        <v>33</v>
      </c>
      <c r="G391" s="2" t="s">
        <v>34</v>
      </c>
      <c r="H391" s="2" t="s">
        <v>16</v>
      </c>
    </row>
    <row r="392" spans="1:8" x14ac:dyDescent="0.3">
      <c r="A392" s="2" t="str">
        <f>HYPERLINK("https://hsdes.intel.com/resource/14013179183","14013179183")</f>
        <v>14013179183</v>
      </c>
      <c r="B392" s="2" t="s">
        <v>831</v>
      </c>
      <c r="C392" s="2" t="s">
        <v>830</v>
      </c>
      <c r="D392" s="6" t="s">
        <v>8</v>
      </c>
      <c r="E392" s="2"/>
      <c r="F392" s="2" t="s">
        <v>33</v>
      </c>
      <c r="G392" s="2" t="s">
        <v>155</v>
      </c>
      <c r="H392" s="2" t="s">
        <v>16</v>
      </c>
    </row>
    <row r="393" spans="1:8" x14ac:dyDescent="0.3">
      <c r="A393" s="2" t="str">
        <f>HYPERLINK("https://hsdes.intel.com/resource/14013179255","14013179255")</f>
        <v>14013179255</v>
      </c>
      <c r="B393" s="2" t="s">
        <v>833</v>
      </c>
      <c r="C393" s="2" t="s">
        <v>832</v>
      </c>
      <c r="D393" s="6" t="s">
        <v>8</v>
      </c>
      <c r="E393" s="2"/>
      <c r="F393" s="2" t="s">
        <v>158</v>
      </c>
      <c r="G393" s="2" t="s">
        <v>38</v>
      </c>
      <c r="H393" s="2" t="s">
        <v>16</v>
      </c>
    </row>
    <row r="394" spans="1:8" x14ac:dyDescent="0.3">
      <c r="A394" s="2" t="str">
        <f>HYPERLINK("https://hsdes.intel.com/resource/14013179274","14013179274")</f>
        <v>14013179274</v>
      </c>
      <c r="B394" s="2" t="s">
        <v>835</v>
      </c>
      <c r="C394" s="2" t="s">
        <v>834</v>
      </c>
      <c r="D394" s="6" t="s">
        <v>8</v>
      </c>
      <c r="E394" s="2"/>
      <c r="F394" s="2" t="s">
        <v>9</v>
      </c>
      <c r="G394" s="2" t="s">
        <v>10</v>
      </c>
      <c r="H394" s="2" t="s">
        <v>11</v>
      </c>
    </row>
    <row r="395" spans="1:8" x14ac:dyDescent="0.3">
      <c r="A395" s="2" t="str">
        <f>HYPERLINK("https://hsdes.intel.com/resource/14013179310","14013179310")</f>
        <v>14013179310</v>
      </c>
      <c r="B395" s="2" t="s">
        <v>837</v>
      </c>
      <c r="C395" s="2" t="s">
        <v>836</v>
      </c>
      <c r="D395" s="6" t="s">
        <v>8</v>
      </c>
      <c r="E395" s="2"/>
      <c r="F395" s="2" t="s">
        <v>208</v>
      </c>
      <c r="G395" s="2" t="s">
        <v>38</v>
      </c>
      <c r="H395" s="2" t="s">
        <v>16</v>
      </c>
    </row>
    <row r="396" spans="1:8" x14ac:dyDescent="0.3">
      <c r="A396" s="2" t="str">
        <f>HYPERLINK("https://hsdes.intel.com/resource/14013179315","14013179315")</f>
        <v>14013179315</v>
      </c>
      <c r="B396" s="2" t="s">
        <v>839</v>
      </c>
      <c r="C396" s="2" t="s">
        <v>838</v>
      </c>
      <c r="D396" s="6" t="s">
        <v>8</v>
      </c>
      <c r="E396" s="2"/>
      <c r="F396" s="2" t="s">
        <v>208</v>
      </c>
      <c r="G396" s="2" t="s">
        <v>209</v>
      </c>
      <c r="H396" s="2" t="s">
        <v>16</v>
      </c>
    </row>
    <row r="397" spans="1:8" x14ac:dyDescent="0.3">
      <c r="A397" s="4" t="str">
        <f>HYPERLINK("https://hsdes.intel.com/resource/14013179329","14013179329")</f>
        <v>14013179329</v>
      </c>
      <c r="B397" s="2" t="s">
        <v>841</v>
      </c>
      <c r="C397" s="2" t="s">
        <v>840</v>
      </c>
      <c r="D397" s="6" t="s">
        <v>8</v>
      </c>
      <c r="E397" s="2"/>
      <c r="F397" s="2" t="s">
        <v>208</v>
      </c>
      <c r="G397" s="2" t="s">
        <v>209</v>
      </c>
      <c r="H397" s="2" t="s">
        <v>11</v>
      </c>
    </row>
    <row r="398" spans="1:8" x14ac:dyDescent="0.3">
      <c r="A398" s="2" t="str">
        <f>HYPERLINK("https://hsdes.intel.com/resource/14013179332","14013179332")</f>
        <v>14013179332</v>
      </c>
      <c r="B398" s="2" t="s">
        <v>843</v>
      </c>
      <c r="C398" s="2" t="s">
        <v>842</v>
      </c>
      <c r="D398" s="6" t="s">
        <v>8</v>
      </c>
      <c r="E398" s="2"/>
      <c r="F398" s="2" t="s">
        <v>208</v>
      </c>
      <c r="G398" s="2" t="s">
        <v>209</v>
      </c>
      <c r="H398" s="2" t="s">
        <v>11</v>
      </c>
    </row>
    <row r="399" spans="1:8" x14ac:dyDescent="0.3">
      <c r="A399" s="2" t="str">
        <f>HYPERLINK("https://hsdes.intel.com/resource/14013179379","14013179379")</f>
        <v>14013179379</v>
      </c>
      <c r="B399" s="2" t="s">
        <v>845</v>
      </c>
      <c r="C399" s="2" t="s">
        <v>844</v>
      </c>
      <c r="D399" s="6" t="s">
        <v>8</v>
      </c>
      <c r="E399" s="2"/>
      <c r="F399" s="2" t="s">
        <v>208</v>
      </c>
      <c r="G399" s="2" t="s">
        <v>209</v>
      </c>
      <c r="H399" s="2" t="s">
        <v>11</v>
      </c>
    </row>
    <row r="400" spans="1:8" x14ac:dyDescent="0.3">
      <c r="A400" s="2" t="str">
        <f>HYPERLINK("https://hsdes.intel.com/resource/14013179437","14013179437")</f>
        <v>14013179437</v>
      </c>
      <c r="B400" s="2" t="s">
        <v>847</v>
      </c>
      <c r="C400" s="2" t="s">
        <v>846</v>
      </c>
      <c r="D400" s="6" t="s">
        <v>8</v>
      </c>
      <c r="E400" s="2"/>
      <c r="F400" s="2" t="s">
        <v>135</v>
      </c>
      <c r="G400" s="2" t="s">
        <v>136</v>
      </c>
      <c r="H400" s="2" t="s">
        <v>11</v>
      </c>
    </row>
    <row r="401" spans="1:8" x14ac:dyDescent="0.3">
      <c r="A401" s="2" t="str">
        <f>HYPERLINK("https://hsdes.intel.com/resource/14013179473","14013179473")</f>
        <v>14013179473</v>
      </c>
      <c r="B401" s="2" t="s">
        <v>849</v>
      </c>
      <c r="C401" s="2" t="s">
        <v>848</v>
      </c>
      <c r="D401" s="6" t="s">
        <v>8</v>
      </c>
      <c r="E401" s="2"/>
      <c r="F401" s="2" t="s">
        <v>135</v>
      </c>
      <c r="G401" s="2" t="s">
        <v>136</v>
      </c>
      <c r="H401" s="2" t="s">
        <v>11</v>
      </c>
    </row>
    <row r="402" spans="1:8" x14ac:dyDescent="0.3">
      <c r="A402" s="2" t="str">
        <f>HYPERLINK("https://hsdes.intel.com/resource/14013179523","14013179523")</f>
        <v>14013179523</v>
      </c>
      <c r="B402" s="2" t="s">
        <v>851</v>
      </c>
      <c r="C402" s="2" t="s">
        <v>850</v>
      </c>
      <c r="D402" s="6" t="s">
        <v>8</v>
      </c>
      <c r="E402" s="2"/>
      <c r="F402" s="2" t="s">
        <v>135</v>
      </c>
      <c r="G402" s="2" t="s">
        <v>136</v>
      </c>
      <c r="H402" s="2" t="s">
        <v>11</v>
      </c>
    </row>
    <row r="403" spans="1:8" x14ac:dyDescent="0.3">
      <c r="A403" s="2" t="str">
        <f>HYPERLINK("https://hsdes.intel.com/resource/14013179540","14013179540")</f>
        <v>14013179540</v>
      </c>
      <c r="B403" s="2" t="s">
        <v>853</v>
      </c>
      <c r="C403" s="2" t="s">
        <v>852</v>
      </c>
      <c r="D403" s="6" t="s">
        <v>8</v>
      </c>
      <c r="E403" s="2"/>
      <c r="F403" s="2" t="s">
        <v>135</v>
      </c>
      <c r="G403" s="2" t="s">
        <v>136</v>
      </c>
      <c r="H403" s="2" t="s">
        <v>11</v>
      </c>
    </row>
    <row r="404" spans="1:8" x14ac:dyDescent="0.3">
      <c r="A404" s="2" t="str">
        <f>HYPERLINK("https://hsdes.intel.com/resource/14013179556","14013179556")</f>
        <v>14013179556</v>
      </c>
      <c r="B404" s="2" t="s">
        <v>855</v>
      </c>
      <c r="C404" s="2" t="s">
        <v>854</v>
      </c>
      <c r="D404" s="6" t="s">
        <v>8</v>
      </c>
      <c r="E404" s="2"/>
      <c r="F404" s="2" t="s">
        <v>135</v>
      </c>
      <c r="G404" s="2" t="s">
        <v>136</v>
      </c>
      <c r="H404" s="2" t="s">
        <v>11</v>
      </c>
    </row>
    <row r="405" spans="1:8" x14ac:dyDescent="0.3">
      <c r="A405" s="2" t="str">
        <f>HYPERLINK("https://hsdes.intel.com/resource/14013179573","14013179573")</f>
        <v>14013179573</v>
      </c>
      <c r="B405" s="2" t="s">
        <v>857</v>
      </c>
      <c r="C405" s="2" t="s">
        <v>856</v>
      </c>
      <c r="D405" s="6" t="s">
        <v>8</v>
      </c>
      <c r="E405" s="2"/>
      <c r="F405" s="2" t="s">
        <v>135</v>
      </c>
      <c r="G405" s="2" t="s">
        <v>136</v>
      </c>
      <c r="H405" s="2" t="s">
        <v>11</v>
      </c>
    </row>
    <row r="406" spans="1:8" x14ac:dyDescent="0.3">
      <c r="A406" s="2" t="str">
        <f>HYPERLINK("https://hsdes.intel.com/resource/14013179683","14013179683")</f>
        <v>14013179683</v>
      </c>
      <c r="B406" s="2" t="s">
        <v>859</v>
      </c>
      <c r="C406" s="2" t="s">
        <v>858</v>
      </c>
      <c r="D406" s="6" t="s">
        <v>8</v>
      </c>
      <c r="E406" s="2"/>
      <c r="F406" s="2" t="s">
        <v>55</v>
      </c>
      <c r="G406" s="2" t="s">
        <v>695</v>
      </c>
      <c r="H406" s="2" t="s">
        <v>16</v>
      </c>
    </row>
    <row r="407" spans="1:8" x14ac:dyDescent="0.3">
      <c r="A407" s="2" t="str">
        <f>HYPERLINK("https://hsdes.intel.com/resource/14013179705","14013179705")</f>
        <v>14013179705</v>
      </c>
      <c r="B407" s="2" t="s">
        <v>861</v>
      </c>
      <c r="C407" s="2" t="s">
        <v>860</v>
      </c>
      <c r="D407" s="6" t="s">
        <v>8</v>
      </c>
      <c r="E407" s="2"/>
      <c r="F407" s="2" t="s">
        <v>21</v>
      </c>
      <c r="G407" s="2" t="s">
        <v>22</v>
      </c>
      <c r="H407" s="2" t="s">
        <v>11</v>
      </c>
    </row>
    <row r="408" spans="1:8" x14ac:dyDescent="0.3">
      <c r="A408" s="2" t="str">
        <f>HYPERLINK("https://hsdes.intel.com/resource/14013180203","14013180203")</f>
        <v>14013180203</v>
      </c>
      <c r="B408" s="2" t="s">
        <v>863</v>
      </c>
      <c r="C408" s="2" t="s">
        <v>862</v>
      </c>
      <c r="D408" s="6" t="s">
        <v>8</v>
      </c>
      <c r="E408" s="2"/>
      <c r="F408" s="2" t="s">
        <v>62</v>
      </c>
      <c r="G408" s="2" t="s">
        <v>63</v>
      </c>
      <c r="H408" s="2" t="s">
        <v>16</v>
      </c>
    </row>
    <row r="409" spans="1:8" x14ac:dyDescent="0.3">
      <c r="A409" s="2" t="str">
        <f>HYPERLINK("https://hsdes.intel.com/resource/14013180258","14013180258")</f>
        <v>14013180258</v>
      </c>
      <c r="B409" s="2" t="s">
        <v>865</v>
      </c>
      <c r="C409" s="2" t="s">
        <v>864</v>
      </c>
      <c r="D409" s="6" t="s">
        <v>8</v>
      </c>
      <c r="E409" s="2"/>
      <c r="F409" s="2" t="s">
        <v>62</v>
      </c>
      <c r="G409" s="2" t="s">
        <v>63</v>
      </c>
      <c r="H409" s="2" t="s">
        <v>16</v>
      </c>
    </row>
    <row r="410" spans="1:8" x14ac:dyDescent="0.3">
      <c r="A410" s="2" t="str">
        <f>HYPERLINK("https://hsdes.intel.com/resource/14013180376","14013180376")</f>
        <v>14013180376</v>
      </c>
      <c r="B410" s="2" t="s">
        <v>867</v>
      </c>
      <c r="C410" s="2" t="s">
        <v>866</v>
      </c>
      <c r="D410" s="6" t="s">
        <v>8</v>
      </c>
      <c r="E410" s="2"/>
      <c r="F410" s="2" t="s">
        <v>62</v>
      </c>
      <c r="G410" s="2" t="s">
        <v>63</v>
      </c>
      <c r="H410" s="2" t="s">
        <v>16</v>
      </c>
    </row>
    <row r="411" spans="1:8" x14ac:dyDescent="0.3">
      <c r="A411" s="2" t="str">
        <f>HYPERLINK("https://hsdes.intel.com/resource/14013180385","14013180385")</f>
        <v>14013180385</v>
      </c>
      <c r="B411" s="2" t="s">
        <v>869</v>
      </c>
      <c r="C411" s="2" t="s">
        <v>868</v>
      </c>
      <c r="D411" s="6" t="s">
        <v>8</v>
      </c>
      <c r="E411" s="2"/>
      <c r="F411" s="2" t="s">
        <v>62</v>
      </c>
      <c r="G411" s="2" t="s">
        <v>63</v>
      </c>
      <c r="H411" s="2" t="s">
        <v>16</v>
      </c>
    </row>
    <row r="412" spans="1:8" x14ac:dyDescent="0.3">
      <c r="A412" s="2" t="str">
        <f>HYPERLINK("https://hsdes.intel.com/resource/14013180393","14013180393")</f>
        <v>14013180393</v>
      </c>
      <c r="B412" s="2" t="s">
        <v>871</v>
      </c>
      <c r="C412" s="2" t="s">
        <v>870</v>
      </c>
      <c r="D412" s="6" t="s">
        <v>8</v>
      </c>
      <c r="E412" s="2"/>
      <c r="F412" s="2" t="s">
        <v>62</v>
      </c>
      <c r="G412" s="2" t="s">
        <v>63</v>
      </c>
      <c r="H412" s="2" t="s">
        <v>16</v>
      </c>
    </row>
    <row r="413" spans="1:8" x14ac:dyDescent="0.3">
      <c r="A413" s="2" t="str">
        <f>HYPERLINK("https://hsdes.intel.com/resource/14013180400","14013180400")</f>
        <v>14013180400</v>
      </c>
      <c r="B413" s="2" t="s">
        <v>873</v>
      </c>
      <c r="C413" s="2" t="s">
        <v>872</v>
      </c>
      <c r="D413" s="6" t="s">
        <v>8</v>
      </c>
      <c r="E413" s="2"/>
      <c r="F413" s="2" t="s">
        <v>62</v>
      </c>
      <c r="G413" s="2" t="s">
        <v>63</v>
      </c>
      <c r="H413" s="2" t="s">
        <v>16</v>
      </c>
    </row>
    <row r="414" spans="1:8" x14ac:dyDescent="0.3">
      <c r="A414" s="2" t="str">
        <f>HYPERLINK("https://hsdes.intel.com/resource/14013180405","14013180405")</f>
        <v>14013180405</v>
      </c>
      <c r="B414" s="2" t="s">
        <v>875</v>
      </c>
      <c r="C414" s="2" t="s">
        <v>874</v>
      </c>
      <c r="D414" s="6" t="s">
        <v>8</v>
      </c>
      <c r="E414" s="2"/>
      <c r="F414" s="2" t="s">
        <v>62</v>
      </c>
      <c r="G414" s="2" t="s">
        <v>63</v>
      </c>
      <c r="H414" s="2" t="s">
        <v>16</v>
      </c>
    </row>
    <row r="415" spans="1:8" x14ac:dyDescent="0.3">
      <c r="A415" s="2" t="str">
        <f>HYPERLINK("https://hsdes.intel.com/resource/14013180406","14013180406")</f>
        <v>14013180406</v>
      </c>
      <c r="B415" s="2" t="s">
        <v>877</v>
      </c>
      <c r="C415" s="2" t="s">
        <v>876</v>
      </c>
      <c r="D415" s="6" t="s">
        <v>8</v>
      </c>
      <c r="E415" s="2"/>
      <c r="F415" s="2" t="s">
        <v>62</v>
      </c>
      <c r="G415" s="2" t="s">
        <v>63</v>
      </c>
      <c r="H415" s="2" t="s">
        <v>11</v>
      </c>
    </row>
    <row r="416" spans="1:8" x14ac:dyDescent="0.3">
      <c r="A416" s="2" t="str">
        <f>HYPERLINK("https://hsdes.intel.com/resource/14013180411","14013180411")</f>
        <v>14013180411</v>
      </c>
      <c r="B416" s="2" t="s">
        <v>879</v>
      </c>
      <c r="C416" s="2" t="s">
        <v>878</v>
      </c>
      <c r="D416" s="6" t="s">
        <v>8</v>
      </c>
      <c r="E416" s="2"/>
      <c r="F416" s="2" t="s">
        <v>62</v>
      </c>
      <c r="G416" s="2" t="s">
        <v>63</v>
      </c>
      <c r="H416" s="2" t="s">
        <v>16</v>
      </c>
    </row>
    <row r="417" spans="1:8" x14ac:dyDescent="0.3">
      <c r="A417" s="2" t="str">
        <f>HYPERLINK("https://hsdes.intel.com/resource/14013180414","14013180414")</f>
        <v>14013180414</v>
      </c>
      <c r="B417" s="2" t="s">
        <v>881</v>
      </c>
      <c r="C417" s="2" t="s">
        <v>880</v>
      </c>
      <c r="D417" s="6" t="s">
        <v>8</v>
      </c>
      <c r="E417" s="2"/>
      <c r="F417" s="2" t="s">
        <v>62</v>
      </c>
      <c r="G417" s="2" t="s">
        <v>63</v>
      </c>
      <c r="H417" s="2" t="s">
        <v>16</v>
      </c>
    </row>
    <row r="418" spans="1:8" x14ac:dyDescent="0.3">
      <c r="A418" s="2" t="str">
        <f>HYPERLINK("https://hsdes.intel.com/resource/14013180415","14013180415")</f>
        <v>14013180415</v>
      </c>
      <c r="B418" s="2" t="s">
        <v>883</v>
      </c>
      <c r="C418" s="2" t="s">
        <v>882</v>
      </c>
      <c r="D418" s="6" t="s">
        <v>8</v>
      </c>
      <c r="E418" s="2"/>
      <c r="F418" s="2" t="s">
        <v>62</v>
      </c>
      <c r="G418" s="2" t="s">
        <v>63</v>
      </c>
      <c r="H418" s="2" t="s">
        <v>16</v>
      </c>
    </row>
    <row r="419" spans="1:8" x14ac:dyDescent="0.3">
      <c r="A419" s="2" t="str">
        <f>HYPERLINK("https://hsdes.intel.com/resource/14013180439","14013180439")</f>
        <v>14013180439</v>
      </c>
      <c r="B419" s="2" t="s">
        <v>885</v>
      </c>
      <c r="C419" s="2" t="s">
        <v>884</v>
      </c>
      <c r="D419" s="6" t="s">
        <v>8</v>
      </c>
      <c r="E419" s="2"/>
      <c r="F419" s="2" t="s">
        <v>62</v>
      </c>
      <c r="G419" s="2" t="s">
        <v>63</v>
      </c>
      <c r="H419" s="2" t="s">
        <v>16</v>
      </c>
    </row>
    <row r="420" spans="1:8" x14ac:dyDescent="0.3">
      <c r="A420" s="2" t="str">
        <f>HYPERLINK("https://hsdes.intel.com/resource/14013180454","14013180454")</f>
        <v>14013180454</v>
      </c>
      <c r="B420" s="2" t="s">
        <v>887</v>
      </c>
      <c r="C420" s="2" t="s">
        <v>886</v>
      </c>
      <c r="D420" s="6" t="s">
        <v>8</v>
      </c>
      <c r="E420" s="2"/>
      <c r="F420" s="2" t="s">
        <v>62</v>
      </c>
      <c r="G420" s="2" t="s">
        <v>63</v>
      </c>
      <c r="H420" s="2" t="s">
        <v>16</v>
      </c>
    </row>
    <row r="421" spans="1:8" x14ac:dyDescent="0.3">
      <c r="A421" s="2" t="str">
        <f>HYPERLINK("https://hsdes.intel.com/resource/14013180456","14013180456")</f>
        <v>14013180456</v>
      </c>
      <c r="B421" s="2" t="s">
        <v>889</v>
      </c>
      <c r="C421" s="2" t="s">
        <v>888</v>
      </c>
      <c r="D421" s="6" t="s">
        <v>8</v>
      </c>
      <c r="E421" s="2"/>
      <c r="F421" s="2" t="s">
        <v>62</v>
      </c>
      <c r="G421" s="2" t="s">
        <v>63</v>
      </c>
      <c r="H421" s="2" t="s">
        <v>41</v>
      </c>
    </row>
    <row r="422" spans="1:8" x14ac:dyDescent="0.3">
      <c r="A422" s="2" t="str">
        <f>HYPERLINK("https://hsdes.intel.com/resource/14013180461","14013180461")</f>
        <v>14013180461</v>
      </c>
      <c r="B422" s="2" t="s">
        <v>891</v>
      </c>
      <c r="C422" s="2" t="s">
        <v>890</v>
      </c>
      <c r="D422" s="6" t="s">
        <v>8</v>
      </c>
      <c r="E422" s="2"/>
      <c r="F422" s="2" t="s">
        <v>62</v>
      </c>
      <c r="G422" s="2" t="s">
        <v>63</v>
      </c>
      <c r="H422" s="2" t="s">
        <v>16</v>
      </c>
    </row>
    <row r="423" spans="1:8" x14ac:dyDescent="0.3">
      <c r="A423" s="2" t="str">
        <f>HYPERLINK("https://hsdes.intel.com/resource/14013180508","14013180508")</f>
        <v>14013180508</v>
      </c>
      <c r="B423" s="2" t="s">
        <v>893</v>
      </c>
      <c r="C423" s="2" t="s">
        <v>892</v>
      </c>
      <c r="D423" s="6" t="s">
        <v>8</v>
      </c>
      <c r="E423" s="2"/>
      <c r="F423" s="2" t="s">
        <v>29</v>
      </c>
      <c r="G423" s="2" t="s">
        <v>30</v>
      </c>
      <c r="H423" s="2" t="s">
        <v>16</v>
      </c>
    </row>
    <row r="424" spans="1:8" x14ac:dyDescent="0.3">
      <c r="A424" s="2" t="str">
        <f>HYPERLINK("https://hsdes.intel.com/resource/14013180512","14013180512")</f>
        <v>14013180512</v>
      </c>
      <c r="B424" s="2" t="s">
        <v>895</v>
      </c>
      <c r="C424" s="2" t="s">
        <v>894</v>
      </c>
      <c r="D424" s="6" t="s">
        <v>8</v>
      </c>
      <c r="E424" s="2"/>
      <c r="F424" s="2" t="s">
        <v>62</v>
      </c>
      <c r="G424" s="2" t="s">
        <v>63</v>
      </c>
      <c r="H424" s="2" t="s">
        <v>16</v>
      </c>
    </row>
    <row r="425" spans="1:8" x14ac:dyDescent="0.3">
      <c r="A425" s="2" t="str">
        <f>HYPERLINK("https://hsdes.intel.com/resource/14013180516","14013180516")</f>
        <v>14013180516</v>
      </c>
      <c r="B425" s="2" t="s">
        <v>897</v>
      </c>
      <c r="C425" s="2" t="s">
        <v>896</v>
      </c>
      <c r="D425" s="6" t="s">
        <v>8</v>
      </c>
      <c r="E425" s="2"/>
      <c r="F425" s="2" t="s">
        <v>29</v>
      </c>
      <c r="G425" s="2" t="s">
        <v>30</v>
      </c>
      <c r="H425" s="2" t="s">
        <v>16</v>
      </c>
    </row>
    <row r="426" spans="1:8" x14ac:dyDescent="0.3">
      <c r="A426" s="2" t="str">
        <f>HYPERLINK("https://hsdes.intel.com/resource/14013180525","14013180525")</f>
        <v>14013180525</v>
      </c>
      <c r="B426" s="2" t="s">
        <v>899</v>
      </c>
      <c r="C426" s="2" t="s">
        <v>898</v>
      </c>
      <c r="D426" s="6" t="s">
        <v>8</v>
      </c>
      <c r="E426" s="2"/>
      <c r="F426" s="2" t="s">
        <v>62</v>
      </c>
      <c r="G426" s="2" t="s">
        <v>63</v>
      </c>
      <c r="H426" s="2" t="s">
        <v>16</v>
      </c>
    </row>
    <row r="427" spans="1:8" x14ac:dyDescent="0.3">
      <c r="A427" s="2" t="str">
        <f>HYPERLINK("https://hsdes.intel.com/resource/14013180592","14013180592")</f>
        <v>14013180592</v>
      </c>
      <c r="B427" s="2" t="s">
        <v>901</v>
      </c>
      <c r="C427" s="2" t="s">
        <v>900</v>
      </c>
      <c r="D427" s="6" t="s">
        <v>8</v>
      </c>
      <c r="E427" s="2"/>
      <c r="F427" s="2" t="s">
        <v>62</v>
      </c>
      <c r="G427" s="2" t="s">
        <v>63</v>
      </c>
      <c r="H427" s="2" t="s">
        <v>16</v>
      </c>
    </row>
    <row r="428" spans="1:8" x14ac:dyDescent="0.3">
      <c r="A428" s="2" t="str">
        <f>HYPERLINK("https://hsdes.intel.com/resource/14013180605","14013180605")</f>
        <v>14013180605</v>
      </c>
      <c r="B428" s="2" t="s">
        <v>903</v>
      </c>
      <c r="C428" s="2" t="s">
        <v>902</v>
      </c>
      <c r="D428" s="6" t="s">
        <v>8</v>
      </c>
      <c r="E428" s="2"/>
      <c r="F428" s="2" t="s">
        <v>62</v>
      </c>
      <c r="G428" s="2" t="s">
        <v>63</v>
      </c>
      <c r="H428" s="2" t="s">
        <v>16</v>
      </c>
    </row>
    <row r="429" spans="1:8" x14ac:dyDescent="0.3">
      <c r="A429" s="2" t="str">
        <f>HYPERLINK("https://hsdes.intel.com/resource/14013182324","14013182324")</f>
        <v>14013182324</v>
      </c>
      <c r="B429" s="2" t="s">
        <v>905</v>
      </c>
      <c r="C429" s="2" t="s">
        <v>904</v>
      </c>
      <c r="D429" s="6" t="s">
        <v>8</v>
      </c>
      <c r="E429" s="2"/>
      <c r="F429" s="2" t="s">
        <v>558</v>
      </c>
      <c r="G429" s="2" t="s">
        <v>10</v>
      </c>
      <c r="H429" s="2" t="s">
        <v>16</v>
      </c>
    </row>
    <row r="430" spans="1:8" x14ac:dyDescent="0.3">
      <c r="A430" s="2" t="str">
        <f>HYPERLINK("https://hsdes.intel.com/resource/14013182348","14013182348")</f>
        <v>14013182348</v>
      </c>
      <c r="B430" s="2" t="s">
        <v>907</v>
      </c>
      <c r="C430" s="2" t="s">
        <v>906</v>
      </c>
      <c r="D430" s="6" t="s">
        <v>8</v>
      </c>
      <c r="E430" s="2"/>
      <c r="F430" s="2" t="s">
        <v>9</v>
      </c>
      <c r="G430" s="2" t="s">
        <v>10</v>
      </c>
      <c r="H430" s="2" t="s">
        <v>41</v>
      </c>
    </row>
    <row r="431" spans="1:8" x14ac:dyDescent="0.3">
      <c r="A431" s="2" t="str">
        <f>HYPERLINK("https://hsdes.intel.com/resource/14013182355","14013182355")</f>
        <v>14013182355</v>
      </c>
      <c r="B431" s="2" t="s">
        <v>909</v>
      </c>
      <c r="C431" s="2" t="s">
        <v>908</v>
      </c>
      <c r="D431" s="6" t="s">
        <v>8</v>
      </c>
      <c r="E431" s="2"/>
      <c r="F431" s="2" t="s">
        <v>9</v>
      </c>
      <c r="G431" s="2" t="s">
        <v>10</v>
      </c>
      <c r="H431" s="2" t="s">
        <v>41</v>
      </c>
    </row>
    <row r="432" spans="1:8" x14ac:dyDescent="0.3">
      <c r="A432" s="2" t="str">
        <f>HYPERLINK("https://hsdes.intel.com/resource/14013182365","14013182365")</f>
        <v>14013182365</v>
      </c>
      <c r="B432" s="2" t="s">
        <v>911</v>
      </c>
      <c r="C432" s="2" t="s">
        <v>910</v>
      </c>
      <c r="D432" s="6" t="s">
        <v>8</v>
      </c>
      <c r="E432" s="2"/>
      <c r="F432" s="2" t="s">
        <v>158</v>
      </c>
      <c r="G432" s="2" t="s">
        <v>38</v>
      </c>
      <c r="H432" s="2" t="s">
        <v>16</v>
      </c>
    </row>
    <row r="433" spans="1:8" x14ac:dyDescent="0.3">
      <c r="A433" s="2" t="str">
        <f>HYPERLINK("https://hsdes.intel.com/resource/14013182433","14013182433")</f>
        <v>14013182433</v>
      </c>
      <c r="B433" s="2" t="s">
        <v>913</v>
      </c>
      <c r="C433" s="2" t="s">
        <v>912</v>
      </c>
      <c r="D433" s="6" t="s">
        <v>8</v>
      </c>
      <c r="E433" s="2"/>
      <c r="F433" s="2" t="s">
        <v>55</v>
      </c>
      <c r="G433" s="2" t="s">
        <v>22</v>
      </c>
      <c r="H433" s="2" t="s">
        <v>16</v>
      </c>
    </row>
    <row r="434" spans="1:8" x14ac:dyDescent="0.3">
      <c r="A434" s="2" t="str">
        <f>HYPERLINK("https://hsdes.intel.com/resource/14013182458","14013182458")</f>
        <v>14013182458</v>
      </c>
      <c r="B434" s="2" t="s">
        <v>915</v>
      </c>
      <c r="C434" s="2" t="s">
        <v>914</v>
      </c>
      <c r="D434" s="6" t="s">
        <v>8</v>
      </c>
      <c r="E434" s="2"/>
      <c r="F434" s="2" t="s">
        <v>55</v>
      </c>
      <c r="G434" s="2" t="s">
        <v>38</v>
      </c>
      <c r="H434" s="2" t="s">
        <v>16</v>
      </c>
    </row>
    <row r="435" spans="1:8" x14ac:dyDescent="0.3">
      <c r="A435" s="2" t="str">
        <f>HYPERLINK("https://hsdes.intel.com/resource/14013182487","14013182487")</f>
        <v>14013182487</v>
      </c>
      <c r="B435" s="2" t="s">
        <v>917</v>
      </c>
      <c r="C435" s="2" t="s">
        <v>916</v>
      </c>
      <c r="D435" s="6" t="s">
        <v>8</v>
      </c>
      <c r="E435" s="2"/>
      <c r="F435" s="2" t="s">
        <v>62</v>
      </c>
      <c r="G435" s="2" t="s">
        <v>63</v>
      </c>
      <c r="H435" s="2" t="s">
        <v>16</v>
      </c>
    </row>
    <row r="436" spans="1:8" x14ac:dyDescent="0.3">
      <c r="A436" s="2" t="str">
        <f>HYPERLINK("https://hsdes.intel.com/resource/14013182900","14013182900")</f>
        <v>14013182900</v>
      </c>
      <c r="B436" s="2" t="s">
        <v>919</v>
      </c>
      <c r="C436" s="2" t="s">
        <v>918</v>
      </c>
      <c r="D436" s="6" t="s">
        <v>8</v>
      </c>
      <c r="E436" s="2"/>
      <c r="F436" s="2" t="s">
        <v>25</v>
      </c>
      <c r="G436" s="2" t="s">
        <v>201</v>
      </c>
      <c r="H436" s="2" t="s">
        <v>16</v>
      </c>
    </row>
    <row r="437" spans="1:8" x14ac:dyDescent="0.3">
      <c r="A437" s="2" t="str">
        <f>HYPERLINK("https://hsdes.intel.com/resource/14013182910","14013182910")</f>
        <v>14013182910</v>
      </c>
      <c r="B437" s="2" t="s">
        <v>921</v>
      </c>
      <c r="C437" s="2" t="s">
        <v>920</v>
      </c>
      <c r="D437" s="6" t="s">
        <v>8</v>
      </c>
      <c r="E437" s="2"/>
      <c r="F437" s="2" t="s">
        <v>25</v>
      </c>
      <c r="G437" s="2" t="s">
        <v>201</v>
      </c>
      <c r="H437" s="2" t="s">
        <v>16</v>
      </c>
    </row>
    <row r="438" spans="1:8" x14ac:dyDescent="0.3">
      <c r="A438" s="2" t="str">
        <f>HYPERLINK("https://hsdes.intel.com/resource/14013182921","14013182921")</f>
        <v>14013182921</v>
      </c>
      <c r="B438" s="2" t="s">
        <v>923</v>
      </c>
      <c r="C438" s="2" t="s">
        <v>922</v>
      </c>
      <c r="D438" s="6" t="s">
        <v>8</v>
      </c>
      <c r="E438" s="2"/>
      <c r="F438" s="2" t="s">
        <v>25</v>
      </c>
      <c r="G438" s="2" t="s">
        <v>201</v>
      </c>
      <c r="H438" s="2" t="s">
        <v>16</v>
      </c>
    </row>
    <row r="439" spans="1:8" x14ac:dyDescent="0.3">
      <c r="A439" s="2" t="str">
        <f>HYPERLINK("https://hsdes.intel.com/resource/14013183314","14013183314")</f>
        <v>14013183314</v>
      </c>
      <c r="B439" s="2" t="s">
        <v>925</v>
      </c>
      <c r="C439" s="2" t="s">
        <v>924</v>
      </c>
      <c r="D439" s="6" t="s">
        <v>8</v>
      </c>
      <c r="E439" s="2"/>
      <c r="F439" s="2" t="s">
        <v>14</v>
      </c>
      <c r="G439" s="2" t="s">
        <v>15</v>
      </c>
      <c r="H439" s="2" t="s">
        <v>11</v>
      </c>
    </row>
    <row r="440" spans="1:8" x14ac:dyDescent="0.3">
      <c r="A440" s="2" t="str">
        <f>HYPERLINK("https://hsdes.intel.com/resource/14013183384","14013183384")</f>
        <v>14013183384</v>
      </c>
      <c r="B440" s="2" t="s">
        <v>927</v>
      </c>
      <c r="C440" s="2" t="s">
        <v>926</v>
      </c>
      <c r="D440" s="6" t="s">
        <v>8</v>
      </c>
      <c r="E440" s="2"/>
      <c r="F440" s="2" t="s">
        <v>21</v>
      </c>
      <c r="G440" s="2" t="s">
        <v>22</v>
      </c>
      <c r="H440" s="2" t="s">
        <v>16</v>
      </c>
    </row>
    <row r="441" spans="1:8" x14ac:dyDescent="0.3">
      <c r="A441" s="2" t="str">
        <f>HYPERLINK("https://hsdes.intel.com/resource/14013183707","14013183707")</f>
        <v>14013183707</v>
      </c>
      <c r="B441" s="2" t="s">
        <v>929</v>
      </c>
      <c r="C441" s="2" t="s">
        <v>928</v>
      </c>
      <c r="D441" s="6" t="s">
        <v>8</v>
      </c>
      <c r="E441" s="2"/>
      <c r="F441" s="2" t="s">
        <v>21</v>
      </c>
      <c r="G441" s="2" t="s">
        <v>22</v>
      </c>
      <c r="H441" s="2" t="s">
        <v>16</v>
      </c>
    </row>
    <row r="442" spans="1:8" x14ac:dyDescent="0.3">
      <c r="A442" s="2" t="str">
        <f>HYPERLINK("https://hsdes.intel.com/resource/14013183750","14013183750")</f>
        <v>14013183750</v>
      </c>
      <c r="B442" s="2" t="s">
        <v>931</v>
      </c>
      <c r="C442" s="2" t="s">
        <v>930</v>
      </c>
      <c r="D442" s="6" t="s">
        <v>8</v>
      </c>
      <c r="E442" s="2"/>
      <c r="F442" s="2" t="s">
        <v>33</v>
      </c>
      <c r="G442" s="2" t="s">
        <v>155</v>
      </c>
      <c r="H442" s="2" t="s">
        <v>16</v>
      </c>
    </row>
    <row r="443" spans="1:8" x14ac:dyDescent="0.3">
      <c r="A443" s="2" t="str">
        <f>HYPERLINK("https://hsdes.intel.com/resource/14013183837","14013183837")</f>
        <v>14013183837</v>
      </c>
      <c r="B443" s="2" t="s">
        <v>933</v>
      </c>
      <c r="C443" s="2" t="s">
        <v>932</v>
      </c>
      <c r="D443" s="6" t="s">
        <v>8</v>
      </c>
      <c r="E443" s="2"/>
      <c r="F443" s="2" t="s">
        <v>33</v>
      </c>
      <c r="G443" s="2" t="s">
        <v>155</v>
      </c>
      <c r="H443" s="2" t="s">
        <v>16</v>
      </c>
    </row>
    <row r="444" spans="1:8" x14ac:dyDescent="0.3">
      <c r="A444" s="2" t="str">
        <f>HYPERLINK("https://hsdes.intel.com/resource/14013184108","14013184108")</f>
        <v>14013184108</v>
      </c>
      <c r="B444" s="2" t="s">
        <v>935</v>
      </c>
      <c r="C444" s="2" t="s">
        <v>934</v>
      </c>
      <c r="D444" s="6" t="s">
        <v>8</v>
      </c>
      <c r="E444" s="2"/>
      <c r="F444" s="2" t="s">
        <v>55</v>
      </c>
      <c r="G444" s="2" t="s">
        <v>264</v>
      </c>
      <c r="H444" s="2" t="s">
        <v>11</v>
      </c>
    </row>
    <row r="445" spans="1:8" x14ac:dyDescent="0.3">
      <c r="A445" s="2" t="str">
        <f>HYPERLINK("https://hsdes.intel.com/resource/14013184164","14013184164")</f>
        <v>14013184164</v>
      </c>
      <c r="B445" s="2" t="s">
        <v>937</v>
      </c>
      <c r="C445" s="2" t="s">
        <v>936</v>
      </c>
      <c r="D445" s="6" t="s">
        <v>8</v>
      </c>
      <c r="E445" s="2"/>
      <c r="F445" s="2" t="s">
        <v>21</v>
      </c>
      <c r="G445" s="2" t="s">
        <v>22</v>
      </c>
      <c r="H445" s="2" t="s">
        <v>16</v>
      </c>
    </row>
    <row r="446" spans="1:8" x14ac:dyDescent="0.3">
      <c r="A446" s="2" t="str">
        <f>HYPERLINK("https://hsdes.intel.com/resource/14013184170","14013184170")</f>
        <v>14013184170</v>
      </c>
      <c r="B446" s="2" t="s">
        <v>939</v>
      </c>
      <c r="C446" s="2" t="s">
        <v>938</v>
      </c>
      <c r="D446" s="6" t="s">
        <v>8</v>
      </c>
      <c r="E446" s="2"/>
      <c r="F446" s="2" t="s">
        <v>21</v>
      </c>
      <c r="G446" s="2" t="s">
        <v>22</v>
      </c>
      <c r="H446" s="2" t="s">
        <v>16</v>
      </c>
    </row>
    <row r="447" spans="1:8" x14ac:dyDescent="0.3">
      <c r="A447" s="2" t="str">
        <f>HYPERLINK("https://hsdes.intel.com/resource/14013184271","14013184271")</f>
        <v>14013184271</v>
      </c>
      <c r="B447" s="2" t="s">
        <v>941</v>
      </c>
      <c r="C447" s="2" t="s">
        <v>940</v>
      </c>
      <c r="D447" s="6" t="s">
        <v>8</v>
      </c>
      <c r="E447" s="2"/>
      <c r="F447" s="2" t="s">
        <v>25</v>
      </c>
      <c r="G447" s="2" t="s">
        <v>26</v>
      </c>
      <c r="H447" s="2" t="s">
        <v>16</v>
      </c>
    </row>
    <row r="448" spans="1:8" x14ac:dyDescent="0.3">
      <c r="A448" s="2" t="str">
        <f>HYPERLINK("https://hsdes.intel.com/resource/14013184326","14013184326")</f>
        <v>14013184326</v>
      </c>
      <c r="B448" s="2" t="s">
        <v>943</v>
      </c>
      <c r="C448" s="2" t="s">
        <v>942</v>
      </c>
      <c r="D448" s="6" t="s">
        <v>8</v>
      </c>
      <c r="E448" s="2"/>
      <c r="F448" s="2" t="s">
        <v>25</v>
      </c>
      <c r="G448" s="2" t="s">
        <v>26</v>
      </c>
      <c r="H448" s="2" t="s">
        <v>16</v>
      </c>
    </row>
    <row r="449" spans="1:8" x14ac:dyDescent="0.3">
      <c r="A449" s="2" t="str">
        <f>HYPERLINK("https://hsdes.intel.com/resource/14013184329","14013184329")</f>
        <v>14013184329</v>
      </c>
      <c r="B449" s="2" t="s">
        <v>945</v>
      </c>
      <c r="C449" s="2" t="s">
        <v>944</v>
      </c>
      <c r="D449" s="6" t="s">
        <v>8</v>
      </c>
      <c r="E449" s="2"/>
      <c r="F449" s="2" t="s">
        <v>25</v>
      </c>
      <c r="G449" s="2" t="s">
        <v>26</v>
      </c>
      <c r="H449" s="2" t="s">
        <v>16</v>
      </c>
    </row>
    <row r="450" spans="1:8" x14ac:dyDescent="0.3">
      <c r="A450" s="2" t="str">
        <f>HYPERLINK("https://hsdes.intel.com/resource/14013184407","14013184407")</f>
        <v>14013184407</v>
      </c>
      <c r="B450" s="2" t="s">
        <v>947</v>
      </c>
      <c r="C450" s="2" t="s">
        <v>946</v>
      </c>
      <c r="D450" s="6" t="s">
        <v>8</v>
      </c>
      <c r="E450" s="2"/>
      <c r="F450" s="2" t="s">
        <v>33</v>
      </c>
      <c r="G450" s="2" t="s">
        <v>155</v>
      </c>
      <c r="H450" s="2" t="s">
        <v>16</v>
      </c>
    </row>
    <row r="451" spans="1:8" x14ac:dyDescent="0.3">
      <c r="A451" s="2" t="str">
        <f>HYPERLINK("https://hsdes.intel.com/resource/14013184455","14013184455")</f>
        <v>14013184455</v>
      </c>
      <c r="B451" s="2" t="s">
        <v>949</v>
      </c>
      <c r="C451" s="2" t="s">
        <v>948</v>
      </c>
      <c r="D451" s="6" t="s">
        <v>8</v>
      </c>
      <c r="E451" s="2"/>
      <c r="F451" s="2" t="s">
        <v>33</v>
      </c>
      <c r="G451" s="2" t="s">
        <v>660</v>
      </c>
      <c r="H451" s="2" t="s">
        <v>16</v>
      </c>
    </row>
    <row r="452" spans="1:8" x14ac:dyDescent="0.3">
      <c r="A452" s="2" t="str">
        <f>HYPERLINK("https://hsdes.intel.com/resource/14013184473","14013184473")</f>
        <v>14013184473</v>
      </c>
      <c r="B452" s="2" t="s">
        <v>951</v>
      </c>
      <c r="C452" s="2" t="s">
        <v>950</v>
      </c>
      <c r="D452" s="6" t="s">
        <v>8</v>
      </c>
      <c r="E452" s="2"/>
      <c r="F452" s="2" t="s">
        <v>33</v>
      </c>
      <c r="G452" s="2" t="s">
        <v>155</v>
      </c>
      <c r="H452" s="2" t="s">
        <v>16</v>
      </c>
    </row>
    <row r="453" spans="1:8" x14ac:dyDescent="0.3">
      <c r="A453" s="2" t="str">
        <f>HYPERLINK("https://hsdes.intel.com/resource/14013184477","14013184477")</f>
        <v>14013184477</v>
      </c>
      <c r="B453" s="2" t="s">
        <v>953</v>
      </c>
      <c r="C453" s="2" t="s">
        <v>952</v>
      </c>
      <c r="D453" s="6" t="s">
        <v>8</v>
      </c>
      <c r="E453" s="2"/>
      <c r="F453" s="2" t="s">
        <v>9</v>
      </c>
      <c r="G453" s="2" t="s">
        <v>10</v>
      </c>
      <c r="H453" s="2" t="s">
        <v>11</v>
      </c>
    </row>
    <row r="454" spans="1:8" x14ac:dyDescent="0.3">
      <c r="A454" s="2" t="str">
        <f>HYPERLINK("https://hsdes.intel.com/resource/14013184512","14013184512")</f>
        <v>14013184512</v>
      </c>
      <c r="B454" s="2" t="s">
        <v>955</v>
      </c>
      <c r="C454" s="2" t="s">
        <v>954</v>
      </c>
      <c r="D454" s="6" t="s">
        <v>8</v>
      </c>
      <c r="E454" s="2"/>
      <c r="F454" s="2" t="s">
        <v>9</v>
      </c>
      <c r="G454" s="2" t="s">
        <v>10</v>
      </c>
      <c r="H454" s="2" t="s">
        <v>11</v>
      </c>
    </row>
    <row r="455" spans="1:8" x14ac:dyDescent="0.3">
      <c r="A455" s="2" t="str">
        <f>HYPERLINK("https://hsdes.intel.com/resource/14013184540","14013184540")</f>
        <v>14013184540</v>
      </c>
      <c r="B455" s="2" t="s">
        <v>957</v>
      </c>
      <c r="C455" s="2" t="s">
        <v>956</v>
      </c>
      <c r="D455" s="6" t="s">
        <v>8</v>
      </c>
      <c r="E455" s="2"/>
      <c r="F455" s="2" t="s">
        <v>33</v>
      </c>
      <c r="G455" s="2" t="s">
        <v>643</v>
      </c>
      <c r="H455" s="2" t="s">
        <v>16</v>
      </c>
    </row>
    <row r="456" spans="1:8" x14ac:dyDescent="0.3">
      <c r="A456" s="2" t="str">
        <f>HYPERLINK("https://hsdes.intel.com/resource/14013184583","14013184583")</f>
        <v>14013184583</v>
      </c>
      <c r="B456" s="2" t="s">
        <v>959</v>
      </c>
      <c r="C456" s="2" t="s">
        <v>958</v>
      </c>
      <c r="D456" s="6" t="s">
        <v>8</v>
      </c>
      <c r="E456" s="2"/>
      <c r="F456" s="2" t="s">
        <v>25</v>
      </c>
      <c r="G456" s="2" t="s">
        <v>26</v>
      </c>
      <c r="H456" s="2" t="s">
        <v>16</v>
      </c>
    </row>
    <row r="457" spans="1:8" x14ac:dyDescent="0.3">
      <c r="A457" s="2" t="str">
        <f>HYPERLINK("https://hsdes.intel.com/resource/14013184731","14013184731")</f>
        <v>14013184731</v>
      </c>
      <c r="B457" s="2" t="s">
        <v>961</v>
      </c>
      <c r="C457" s="2" t="s">
        <v>960</v>
      </c>
      <c r="D457" s="6" t="s">
        <v>8</v>
      </c>
      <c r="E457" s="2"/>
      <c r="F457" s="2" t="s">
        <v>25</v>
      </c>
      <c r="G457" s="2" t="s">
        <v>26</v>
      </c>
      <c r="H457" s="2" t="s">
        <v>16</v>
      </c>
    </row>
    <row r="458" spans="1:8" x14ac:dyDescent="0.3">
      <c r="A458" s="2" t="str">
        <f>HYPERLINK("https://hsdes.intel.com/resource/14013184742","14013184742")</f>
        <v>14013184742</v>
      </c>
      <c r="B458" s="2" t="s">
        <v>963</v>
      </c>
      <c r="C458" s="2" t="s">
        <v>962</v>
      </c>
      <c r="D458" s="6" t="s">
        <v>8</v>
      </c>
      <c r="E458" s="2"/>
      <c r="F458" s="2" t="s">
        <v>21</v>
      </c>
      <c r="G458" s="2" t="s">
        <v>22</v>
      </c>
      <c r="H458" s="2" t="s">
        <v>11</v>
      </c>
    </row>
    <row r="459" spans="1:8" x14ac:dyDescent="0.3">
      <c r="A459" s="2" t="str">
        <f>HYPERLINK("https://hsdes.intel.com/resource/14013184823","14013184823")</f>
        <v>14013184823</v>
      </c>
      <c r="B459" s="2" t="s">
        <v>965</v>
      </c>
      <c r="C459" s="2" t="s">
        <v>964</v>
      </c>
      <c r="D459" s="6" t="s">
        <v>8</v>
      </c>
      <c r="E459" s="2"/>
      <c r="F459" s="2" t="s">
        <v>158</v>
      </c>
      <c r="G459" s="2" t="s">
        <v>38</v>
      </c>
      <c r="H459" s="2" t="s">
        <v>16</v>
      </c>
    </row>
    <row r="460" spans="1:8" x14ac:dyDescent="0.3">
      <c r="A460" s="2" t="str">
        <f>HYPERLINK("https://hsdes.intel.com/resource/14013184835","14013184835")</f>
        <v>14013184835</v>
      </c>
      <c r="B460" s="2" t="s">
        <v>967</v>
      </c>
      <c r="C460" s="2" t="s">
        <v>966</v>
      </c>
      <c r="D460" s="6" t="s">
        <v>8</v>
      </c>
      <c r="E460" s="2"/>
      <c r="F460" s="2" t="s">
        <v>158</v>
      </c>
      <c r="G460" s="2" t="s">
        <v>98</v>
      </c>
      <c r="H460" s="2" t="s">
        <v>16</v>
      </c>
    </row>
    <row r="461" spans="1:8" x14ac:dyDescent="0.3">
      <c r="A461" s="2" t="str">
        <f>HYPERLINK("https://hsdes.intel.com/resource/14013184856","14013184856")</f>
        <v>14013184856</v>
      </c>
      <c r="B461" s="2" t="s">
        <v>969</v>
      </c>
      <c r="C461" s="2" t="s">
        <v>968</v>
      </c>
      <c r="D461" s="6" t="s">
        <v>8</v>
      </c>
      <c r="E461" s="2"/>
      <c r="F461" s="2" t="s">
        <v>33</v>
      </c>
      <c r="G461" s="2" t="s">
        <v>155</v>
      </c>
      <c r="H461" s="2" t="s">
        <v>16</v>
      </c>
    </row>
    <row r="462" spans="1:8" x14ac:dyDescent="0.3">
      <c r="A462" s="2" t="str">
        <f>HYPERLINK("https://hsdes.intel.com/resource/14013185011","14013185011")</f>
        <v>14013185011</v>
      </c>
      <c r="B462" s="2" t="s">
        <v>971</v>
      </c>
      <c r="C462" s="2" t="s">
        <v>970</v>
      </c>
      <c r="D462" s="6" t="s">
        <v>8</v>
      </c>
      <c r="E462" s="2"/>
      <c r="F462" s="2" t="s">
        <v>25</v>
      </c>
      <c r="G462" s="2" t="s">
        <v>26</v>
      </c>
      <c r="H462" s="2" t="s">
        <v>16</v>
      </c>
    </row>
    <row r="463" spans="1:8" x14ac:dyDescent="0.3">
      <c r="A463" s="2" t="str">
        <f>HYPERLINK("https://hsdes.intel.com/resource/14013185086","14013185086")</f>
        <v>14013185086</v>
      </c>
      <c r="B463" s="2" t="s">
        <v>973</v>
      </c>
      <c r="C463" s="2" t="s">
        <v>972</v>
      </c>
      <c r="D463" s="6" t="s">
        <v>8</v>
      </c>
      <c r="E463" s="2"/>
      <c r="F463" s="2" t="s">
        <v>208</v>
      </c>
      <c r="G463" s="2" t="s">
        <v>209</v>
      </c>
      <c r="H463" s="2" t="s">
        <v>16</v>
      </c>
    </row>
    <row r="464" spans="1:8" x14ac:dyDescent="0.3">
      <c r="A464" s="2" t="str">
        <f>HYPERLINK("https://hsdes.intel.com/resource/14013185119","14013185119")</f>
        <v>14013185119</v>
      </c>
      <c r="B464" s="2" t="s">
        <v>975</v>
      </c>
      <c r="C464" s="2" t="s">
        <v>974</v>
      </c>
      <c r="D464" s="6" t="s">
        <v>8</v>
      </c>
      <c r="E464" s="2"/>
      <c r="F464" s="2" t="s">
        <v>135</v>
      </c>
      <c r="G464" s="2" t="s">
        <v>136</v>
      </c>
      <c r="H464" s="2" t="s">
        <v>11</v>
      </c>
    </row>
    <row r="465" spans="1:8" x14ac:dyDescent="0.3">
      <c r="A465" s="2" t="str">
        <f>HYPERLINK("https://hsdes.intel.com/resource/14013185201","14013185201")</f>
        <v>14013185201</v>
      </c>
      <c r="B465" s="2" t="s">
        <v>977</v>
      </c>
      <c r="C465" s="2" t="s">
        <v>976</v>
      </c>
      <c r="D465" s="6" t="s">
        <v>8</v>
      </c>
      <c r="E465" s="2"/>
      <c r="F465" s="2" t="s">
        <v>25</v>
      </c>
      <c r="G465" s="2" t="s">
        <v>201</v>
      </c>
      <c r="H465" s="2" t="s">
        <v>16</v>
      </c>
    </row>
    <row r="466" spans="1:8" x14ac:dyDescent="0.3">
      <c r="A466" s="2" t="str">
        <f>HYPERLINK("https://hsdes.intel.com/resource/14013185206","14013185206")</f>
        <v>14013185206</v>
      </c>
      <c r="B466" s="2" t="s">
        <v>979</v>
      </c>
      <c r="C466" s="2" t="s">
        <v>978</v>
      </c>
      <c r="D466" s="6" t="s">
        <v>8</v>
      </c>
      <c r="E466" s="2"/>
      <c r="F466" s="2" t="s">
        <v>25</v>
      </c>
      <c r="G466" s="2" t="s">
        <v>201</v>
      </c>
      <c r="H466" s="2" t="s">
        <v>16</v>
      </c>
    </row>
    <row r="467" spans="1:8" x14ac:dyDescent="0.3">
      <c r="A467" s="2" t="str">
        <f>HYPERLINK("https://hsdes.intel.com/resource/14013185270","14013185270")</f>
        <v>14013185270</v>
      </c>
      <c r="B467" s="2" t="s">
        <v>981</v>
      </c>
      <c r="C467" s="2" t="s">
        <v>980</v>
      </c>
      <c r="D467" s="6" t="s">
        <v>8</v>
      </c>
      <c r="E467" s="2"/>
      <c r="F467" s="2" t="s">
        <v>14</v>
      </c>
      <c r="G467" s="2" t="s">
        <v>15</v>
      </c>
      <c r="H467" s="2" t="s">
        <v>11</v>
      </c>
    </row>
    <row r="468" spans="1:8" x14ac:dyDescent="0.3">
      <c r="A468" s="4" t="str">
        <f>HYPERLINK("https://hsdes.intel.com/resource/14013185356","14013185356")</f>
        <v>14013185356</v>
      </c>
      <c r="B468" s="2" t="s">
        <v>983</v>
      </c>
      <c r="C468" s="2" t="s">
        <v>982</v>
      </c>
      <c r="D468" s="6" t="s">
        <v>8</v>
      </c>
      <c r="E468" s="2"/>
      <c r="F468" s="2" t="s">
        <v>33</v>
      </c>
      <c r="G468" s="2" t="s">
        <v>155</v>
      </c>
      <c r="H468" s="2" t="s">
        <v>16</v>
      </c>
    </row>
    <row r="469" spans="1:8" x14ac:dyDescent="0.3">
      <c r="A469" s="2" t="str">
        <f>HYPERLINK("https://hsdes.intel.com/resource/14013185407","14013185407")</f>
        <v>14013185407</v>
      </c>
      <c r="B469" s="2" t="s">
        <v>985</v>
      </c>
      <c r="C469" s="2" t="s">
        <v>984</v>
      </c>
      <c r="D469" s="6" t="s">
        <v>8</v>
      </c>
      <c r="E469" s="2"/>
      <c r="F469" s="2" t="s">
        <v>55</v>
      </c>
      <c r="G469" s="2" t="s">
        <v>264</v>
      </c>
      <c r="H469" s="2" t="s">
        <v>11</v>
      </c>
    </row>
    <row r="470" spans="1:8" x14ac:dyDescent="0.3">
      <c r="A470" s="2" t="str">
        <f>HYPERLINK("https://hsdes.intel.com/resource/14013185426","14013185426")</f>
        <v>14013185426</v>
      </c>
      <c r="B470" s="2" t="s">
        <v>987</v>
      </c>
      <c r="C470" s="2" t="s">
        <v>986</v>
      </c>
      <c r="D470" s="6" t="s">
        <v>8</v>
      </c>
      <c r="E470" s="2"/>
      <c r="F470" s="2" t="s">
        <v>55</v>
      </c>
      <c r="G470" s="2" t="s">
        <v>264</v>
      </c>
      <c r="H470" s="2" t="s">
        <v>16</v>
      </c>
    </row>
    <row r="471" spans="1:8" x14ac:dyDescent="0.3">
      <c r="A471" s="2" t="str">
        <f>HYPERLINK("https://hsdes.intel.com/resource/14013185476","14013185476")</f>
        <v>14013185476</v>
      </c>
      <c r="B471" s="2" t="s">
        <v>989</v>
      </c>
      <c r="C471" s="2" t="s">
        <v>988</v>
      </c>
      <c r="D471" s="6" t="s">
        <v>8</v>
      </c>
      <c r="E471" s="2"/>
      <c r="F471" s="2" t="s">
        <v>33</v>
      </c>
      <c r="G471" s="2" t="s">
        <v>155</v>
      </c>
      <c r="H471" s="2" t="s">
        <v>16</v>
      </c>
    </row>
    <row r="472" spans="1:8" x14ac:dyDescent="0.3">
      <c r="A472" s="2" t="str">
        <f>HYPERLINK("https://hsdes.intel.com/resource/14013185484","14013185484")</f>
        <v>14013185484</v>
      </c>
      <c r="B472" s="2" t="s">
        <v>991</v>
      </c>
      <c r="C472" s="2" t="s">
        <v>990</v>
      </c>
      <c r="D472" s="6" t="s">
        <v>8</v>
      </c>
      <c r="E472" s="2"/>
      <c r="F472" s="2" t="s">
        <v>55</v>
      </c>
      <c r="G472" s="2" t="s">
        <v>30</v>
      </c>
      <c r="H472" s="2" t="s">
        <v>16</v>
      </c>
    </row>
    <row r="473" spans="1:8" x14ac:dyDescent="0.3">
      <c r="A473" s="2" t="str">
        <f>HYPERLINK("https://hsdes.intel.com/resource/14013185500","14013185500")</f>
        <v>14013185500</v>
      </c>
      <c r="B473" s="2" t="s">
        <v>993</v>
      </c>
      <c r="C473" s="2" t="s">
        <v>992</v>
      </c>
      <c r="D473" s="6" t="s">
        <v>8</v>
      </c>
      <c r="E473" s="2"/>
      <c r="F473" s="2" t="s">
        <v>158</v>
      </c>
      <c r="G473" s="2" t="s">
        <v>98</v>
      </c>
      <c r="H473" s="2" t="s">
        <v>16</v>
      </c>
    </row>
    <row r="474" spans="1:8" x14ac:dyDescent="0.3">
      <c r="A474" s="2" t="str">
        <f>HYPERLINK("https://hsdes.intel.com/resource/14013185647","14013185647")</f>
        <v>14013185647</v>
      </c>
      <c r="B474" s="2" t="s">
        <v>995</v>
      </c>
      <c r="C474" s="2" t="s">
        <v>994</v>
      </c>
      <c r="D474" s="7" t="s">
        <v>88</v>
      </c>
      <c r="E474" s="2" t="s">
        <v>317</v>
      </c>
      <c r="F474" s="2" t="s">
        <v>158</v>
      </c>
      <c r="G474" s="2" t="s">
        <v>38</v>
      </c>
      <c r="H474" s="2" t="s">
        <v>16</v>
      </c>
    </row>
    <row r="475" spans="1:8" x14ac:dyDescent="0.3">
      <c r="A475" s="2" t="str">
        <f>HYPERLINK("https://hsdes.intel.com/resource/14013185678","14013185678")</f>
        <v>14013185678</v>
      </c>
      <c r="B475" s="2" t="s">
        <v>997</v>
      </c>
      <c r="C475" s="2" t="s">
        <v>996</v>
      </c>
      <c r="D475" s="6" t="s">
        <v>8</v>
      </c>
      <c r="E475" s="2"/>
      <c r="F475" s="2" t="s">
        <v>135</v>
      </c>
      <c r="G475" s="2" t="s">
        <v>136</v>
      </c>
      <c r="H475" s="2" t="s">
        <v>16</v>
      </c>
    </row>
    <row r="476" spans="1:8" x14ac:dyDescent="0.3">
      <c r="A476" s="2" t="str">
        <f>HYPERLINK("https://hsdes.intel.com/resource/14013185689","14013185689")</f>
        <v>14013185689</v>
      </c>
      <c r="B476" s="2" t="s">
        <v>999</v>
      </c>
      <c r="C476" s="2" t="s">
        <v>998</v>
      </c>
      <c r="D476" s="6" t="s">
        <v>8</v>
      </c>
      <c r="E476" s="2"/>
      <c r="F476" s="2" t="s">
        <v>135</v>
      </c>
      <c r="G476" s="2" t="s">
        <v>136</v>
      </c>
      <c r="H476" s="2" t="s">
        <v>16</v>
      </c>
    </row>
    <row r="477" spans="1:8" x14ac:dyDescent="0.3">
      <c r="A477" s="2" t="str">
        <f>HYPERLINK("https://hsdes.intel.com/resource/14013185694","14013185694")</f>
        <v>14013185694</v>
      </c>
      <c r="B477" s="2" t="s">
        <v>1001</v>
      </c>
      <c r="C477" s="2" t="s">
        <v>1000</v>
      </c>
      <c r="D477" s="6" t="s">
        <v>8</v>
      </c>
      <c r="E477" s="2"/>
      <c r="F477" s="2" t="s">
        <v>135</v>
      </c>
      <c r="G477" s="2" t="s">
        <v>136</v>
      </c>
      <c r="H477" s="2" t="s">
        <v>16</v>
      </c>
    </row>
    <row r="478" spans="1:8" x14ac:dyDescent="0.3">
      <c r="A478" s="2" t="str">
        <f>HYPERLINK("https://hsdes.intel.com/resource/14013185710","14013185710")</f>
        <v>14013185710</v>
      </c>
      <c r="B478" s="2" t="s">
        <v>1003</v>
      </c>
      <c r="C478" s="2" t="s">
        <v>1002</v>
      </c>
      <c r="D478" s="6" t="s">
        <v>8</v>
      </c>
      <c r="E478" s="2"/>
      <c r="F478" s="2" t="s">
        <v>135</v>
      </c>
      <c r="G478" s="2" t="s">
        <v>136</v>
      </c>
      <c r="H478" s="2" t="s">
        <v>16</v>
      </c>
    </row>
    <row r="479" spans="1:8" x14ac:dyDescent="0.3">
      <c r="A479" s="2" t="str">
        <f>HYPERLINK("https://hsdes.intel.com/resource/14013185758","14013185758")</f>
        <v>14013185758</v>
      </c>
      <c r="B479" s="2" t="s">
        <v>1005</v>
      </c>
      <c r="C479" s="2" t="s">
        <v>1004</v>
      </c>
      <c r="D479" s="6" t="s">
        <v>8</v>
      </c>
      <c r="E479" s="2"/>
      <c r="F479" s="2" t="s">
        <v>9</v>
      </c>
      <c r="G479" s="2" t="s">
        <v>10</v>
      </c>
      <c r="H479" s="2" t="s">
        <v>11</v>
      </c>
    </row>
    <row r="480" spans="1:8" x14ac:dyDescent="0.3">
      <c r="A480" s="2" t="str">
        <f>HYPERLINK("https://hsdes.intel.com/resource/14013185807","14013185807")</f>
        <v>14013185807</v>
      </c>
      <c r="B480" s="2" t="s">
        <v>1007</v>
      </c>
      <c r="C480" s="2" t="s">
        <v>1006</v>
      </c>
      <c r="D480" s="6" t="s">
        <v>8</v>
      </c>
      <c r="E480" s="2"/>
      <c r="F480" s="2" t="s">
        <v>37</v>
      </c>
      <c r="G480" s="2" t="s">
        <v>38</v>
      </c>
      <c r="H480" s="2" t="s">
        <v>16</v>
      </c>
    </row>
    <row r="481" spans="1:8" x14ac:dyDescent="0.3">
      <c r="A481" s="2" t="str">
        <f>HYPERLINK("https://hsdes.intel.com/resource/14013185811","14013185811")</f>
        <v>14013185811</v>
      </c>
      <c r="B481" s="2" t="s">
        <v>1009</v>
      </c>
      <c r="C481" s="2" t="s">
        <v>1008</v>
      </c>
      <c r="D481" s="6" t="s">
        <v>8</v>
      </c>
      <c r="E481" s="2"/>
      <c r="F481" s="2" t="s">
        <v>21</v>
      </c>
      <c r="G481" s="2" t="s">
        <v>1010</v>
      </c>
      <c r="H481" s="2" t="s">
        <v>41</v>
      </c>
    </row>
    <row r="482" spans="1:8" x14ac:dyDescent="0.3">
      <c r="A482" s="2" t="str">
        <f>HYPERLINK("https://hsdes.intel.com/resource/14013185831","14013185831")</f>
        <v>14013185831</v>
      </c>
      <c r="B482" s="2" t="s">
        <v>1012</v>
      </c>
      <c r="C482" s="2" t="s">
        <v>1011</v>
      </c>
      <c r="D482" s="6" t="s">
        <v>8</v>
      </c>
      <c r="E482" s="2"/>
      <c r="F482" s="2" t="s">
        <v>558</v>
      </c>
      <c r="G482" s="2" t="s">
        <v>559</v>
      </c>
      <c r="H482" s="2" t="s">
        <v>11</v>
      </c>
    </row>
    <row r="483" spans="1:8" x14ac:dyDescent="0.3">
      <c r="A483" s="2" t="str">
        <f>HYPERLINK("https://hsdes.intel.com/resource/14013185837","14013185837")</f>
        <v>14013185837</v>
      </c>
      <c r="B483" s="2" t="s">
        <v>1014</v>
      </c>
      <c r="C483" s="2" t="s">
        <v>1013</v>
      </c>
      <c r="D483" s="6" t="s">
        <v>8</v>
      </c>
      <c r="E483" s="2"/>
      <c r="F483" s="2" t="s">
        <v>55</v>
      </c>
      <c r="G483" s="2" t="s">
        <v>264</v>
      </c>
      <c r="H483" s="2" t="s">
        <v>11</v>
      </c>
    </row>
    <row r="484" spans="1:8" x14ac:dyDescent="0.3">
      <c r="A484" s="2" t="str">
        <f>HYPERLINK("https://hsdes.intel.com/resource/14013185842","14013185842")</f>
        <v>14013185842</v>
      </c>
      <c r="B484" s="2" t="s">
        <v>1016</v>
      </c>
      <c r="C484" s="2" t="s">
        <v>1015</v>
      </c>
      <c r="D484" s="6" t="s">
        <v>8</v>
      </c>
      <c r="E484" s="2"/>
      <c r="F484" s="2" t="s">
        <v>158</v>
      </c>
      <c r="G484" s="2" t="s">
        <v>38</v>
      </c>
      <c r="H484" s="2" t="s">
        <v>11</v>
      </c>
    </row>
    <row r="485" spans="1:8" x14ac:dyDescent="0.3">
      <c r="A485" s="2" t="str">
        <f>HYPERLINK("https://hsdes.intel.com/resource/14013185849","14013185849")</f>
        <v>14013185849</v>
      </c>
      <c r="B485" s="2" t="s">
        <v>1018</v>
      </c>
      <c r="C485" s="2" t="s">
        <v>1017</v>
      </c>
      <c r="D485" s="6" t="s">
        <v>8</v>
      </c>
      <c r="E485" s="2"/>
      <c r="F485" s="2" t="s">
        <v>25</v>
      </c>
      <c r="G485" s="2" t="s">
        <v>26</v>
      </c>
      <c r="H485" s="2" t="s">
        <v>16</v>
      </c>
    </row>
    <row r="486" spans="1:8" x14ac:dyDescent="0.3">
      <c r="A486" s="2" t="str">
        <f>HYPERLINK("https://hsdes.intel.com/resource/14013185851","14013185851")</f>
        <v>14013185851</v>
      </c>
      <c r="B486" s="2" t="s">
        <v>1020</v>
      </c>
      <c r="C486" s="2" t="s">
        <v>1019</v>
      </c>
      <c r="D486" s="6" t="s">
        <v>8</v>
      </c>
      <c r="E486" s="2"/>
      <c r="F486" s="2" t="s">
        <v>25</v>
      </c>
      <c r="G486" s="2" t="s">
        <v>26</v>
      </c>
      <c r="H486" s="2" t="s">
        <v>16</v>
      </c>
    </row>
    <row r="487" spans="1:8" x14ac:dyDescent="0.3">
      <c r="A487" s="2" t="str">
        <f>HYPERLINK("https://hsdes.intel.com/resource/14013185853","14013185853")</f>
        <v>14013185853</v>
      </c>
      <c r="B487" s="2" t="s">
        <v>1022</v>
      </c>
      <c r="C487" s="2" t="s">
        <v>1021</v>
      </c>
      <c r="D487" s="6" t="s">
        <v>8</v>
      </c>
      <c r="E487" s="2"/>
      <c r="F487" s="2" t="s">
        <v>25</v>
      </c>
      <c r="G487" s="2" t="s">
        <v>26</v>
      </c>
      <c r="H487" s="2" t="s">
        <v>16</v>
      </c>
    </row>
    <row r="488" spans="1:8" x14ac:dyDescent="0.3">
      <c r="A488" s="2" t="str">
        <f>HYPERLINK("https://hsdes.intel.com/resource/14013185855","14013185855")</f>
        <v>14013185855</v>
      </c>
      <c r="B488" s="2" t="s">
        <v>1024</v>
      </c>
      <c r="C488" s="2" t="s">
        <v>1023</v>
      </c>
      <c r="D488" s="6" t="s">
        <v>8</v>
      </c>
      <c r="E488" s="2"/>
      <c r="F488" s="2" t="s">
        <v>25</v>
      </c>
      <c r="G488" s="2" t="s">
        <v>26</v>
      </c>
      <c r="H488" s="2" t="s">
        <v>16</v>
      </c>
    </row>
    <row r="489" spans="1:8" x14ac:dyDescent="0.3">
      <c r="A489" s="2" t="str">
        <f>HYPERLINK("https://hsdes.intel.com/resource/14013185861","14013185861")</f>
        <v>14013185861</v>
      </c>
      <c r="B489" s="2" t="s">
        <v>1026</v>
      </c>
      <c r="C489" s="2" t="s">
        <v>1025</v>
      </c>
      <c r="D489" s="6" t="s">
        <v>8</v>
      </c>
      <c r="E489" s="2"/>
      <c r="F489" s="2" t="s">
        <v>25</v>
      </c>
      <c r="G489" s="2" t="s">
        <v>201</v>
      </c>
      <c r="H489" s="2" t="s">
        <v>16</v>
      </c>
    </row>
    <row r="490" spans="1:8" x14ac:dyDescent="0.3">
      <c r="A490" s="2" t="str">
        <f>HYPERLINK("https://hsdes.intel.com/resource/14013185866","14013185866")</f>
        <v>14013185866</v>
      </c>
      <c r="B490" s="2" t="s">
        <v>1028</v>
      </c>
      <c r="C490" s="2" t="s">
        <v>1027</v>
      </c>
      <c r="D490" s="6" t="s">
        <v>8</v>
      </c>
      <c r="E490" s="2"/>
      <c r="F490" s="2" t="s">
        <v>62</v>
      </c>
      <c r="G490" s="2" t="s">
        <v>63</v>
      </c>
      <c r="H490" s="2" t="s">
        <v>11</v>
      </c>
    </row>
    <row r="491" spans="1:8" x14ac:dyDescent="0.3">
      <c r="A491" s="2" t="str">
        <f>HYPERLINK("https://hsdes.intel.com/resource/14013186090","14013186090")</f>
        <v>14013186090</v>
      </c>
      <c r="B491" s="2" t="s">
        <v>1030</v>
      </c>
      <c r="C491" s="2" t="s">
        <v>1029</v>
      </c>
      <c r="D491" s="6" t="s">
        <v>8</v>
      </c>
      <c r="E491" s="2"/>
      <c r="F491" s="2" t="s">
        <v>25</v>
      </c>
      <c r="G491" s="2" t="s">
        <v>26</v>
      </c>
      <c r="H491" s="2" t="s">
        <v>11</v>
      </c>
    </row>
    <row r="492" spans="1:8" x14ac:dyDescent="0.3">
      <c r="A492" s="2" t="str">
        <f>HYPERLINK("https://hsdes.intel.com/resource/14013186480","14013186480")</f>
        <v>14013186480</v>
      </c>
      <c r="B492" s="2" t="s">
        <v>1032</v>
      </c>
      <c r="C492" s="2" t="s">
        <v>1031</v>
      </c>
      <c r="D492" s="6" t="s">
        <v>8</v>
      </c>
      <c r="E492" s="2"/>
      <c r="F492" s="2" t="s">
        <v>25</v>
      </c>
      <c r="G492" s="2" t="s">
        <v>201</v>
      </c>
      <c r="H492" s="2" t="s">
        <v>16</v>
      </c>
    </row>
    <row r="493" spans="1:8" x14ac:dyDescent="0.3">
      <c r="A493" s="2" t="str">
        <f>HYPERLINK("https://hsdes.intel.com/resource/14013186483","14013186483")</f>
        <v>14013186483</v>
      </c>
      <c r="B493" s="2" t="s">
        <v>245</v>
      </c>
      <c r="C493" s="2" t="s">
        <v>1033</v>
      </c>
      <c r="D493" s="6" t="s">
        <v>8</v>
      </c>
      <c r="E493" s="2"/>
      <c r="F493" s="2" t="s">
        <v>25</v>
      </c>
      <c r="G493" s="2" t="s">
        <v>26</v>
      </c>
      <c r="H493" s="2" t="s">
        <v>16</v>
      </c>
    </row>
    <row r="494" spans="1:8" x14ac:dyDescent="0.3">
      <c r="A494" s="2" t="str">
        <f>HYPERLINK("https://hsdes.intel.com/resource/14013186517","14013186517")</f>
        <v>14013186517</v>
      </c>
      <c r="B494" s="2" t="s">
        <v>276</v>
      </c>
      <c r="C494" s="2" t="s">
        <v>1034</v>
      </c>
      <c r="D494" s="6" t="s">
        <v>8</v>
      </c>
      <c r="E494" s="2"/>
      <c r="F494" s="2" t="s">
        <v>62</v>
      </c>
      <c r="G494" s="2" t="s">
        <v>63</v>
      </c>
      <c r="H494" s="2" t="s">
        <v>16</v>
      </c>
    </row>
    <row r="495" spans="1:8" x14ac:dyDescent="0.3">
      <c r="A495" s="2" t="str">
        <f>HYPERLINK("https://hsdes.intel.com/resource/14013186924","14013186924")</f>
        <v>14013186924</v>
      </c>
      <c r="B495" s="2" t="s">
        <v>1036</v>
      </c>
      <c r="C495" s="2" t="s">
        <v>1035</v>
      </c>
      <c r="D495" s="6" t="s">
        <v>8</v>
      </c>
      <c r="E495" s="2"/>
      <c r="F495" s="2" t="s">
        <v>29</v>
      </c>
      <c r="G495" s="2" t="s">
        <v>63</v>
      </c>
      <c r="H495" s="2" t="s">
        <v>16</v>
      </c>
    </row>
    <row r="496" spans="1:8" x14ac:dyDescent="0.3">
      <c r="A496" s="2" t="str">
        <f>HYPERLINK("https://hsdes.intel.com/resource/14013186942","14013186942")</f>
        <v>14013186942</v>
      </c>
      <c r="B496" s="2" t="s">
        <v>1038</v>
      </c>
      <c r="C496" s="2" t="s">
        <v>1037</v>
      </c>
      <c r="D496" s="6" t="s">
        <v>8</v>
      </c>
      <c r="E496" s="2"/>
      <c r="F496" s="2" t="s">
        <v>62</v>
      </c>
      <c r="G496" s="2" t="s">
        <v>63</v>
      </c>
      <c r="H496" s="2" t="s">
        <v>16</v>
      </c>
    </row>
    <row r="497" spans="1:8" x14ac:dyDescent="0.3">
      <c r="A497" s="2" t="str">
        <f>HYPERLINK("https://hsdes.intel.com/resource/14013186943","14013186943")</f>
        <v>14013186943</v>
      </c>
      <c r="B497" s="2" t="s">
        <v>1040</v>
      </c>
      <c r="C497" s="2" t="s">
        <v>1039</v>
      </c>
      <c r="D497" s="6" t="s">
        <v>8</v>
      </c>
      <c r="E497" s="2"/>
      <c r="F497" s="2" t="s">
        <v>62</v>
      </c>
      <c r="G497" s="2" t="s">
        <v>63</v>
      </c>
      <c r="H497" s="2" t="s">
        <v>16</v>
      </c>
    </row>
    <row r="498" spans="1:8" x14ac:dyDescent="0.3">
      <c r="A498" s="2" t="str">
        <f>HYPERLINK("https://hsdes.intel.com/resource/14013186947","14013186947")</f>
        <v>14013186947</v>
      </c>
      <c r="B498" s="2" t="s">
        <v>1042</v>
      </c>
      <c r="C498" s="2" t="s">
        <v>1041</v>
      </c>
      <c r="D498" s="6" t="s">
        <v>8</v>
      </c>
      <c r="E498" s="2"/>
      <c r="F498" s="2" t="s">
        <v>62</v>
      </c>
      <c r="G498" s="2" t="s">
        <v>63</v>
      </c>
      <c r="H498" s="2" t="s">
        <v>16</v>
      </c>
    </row>
    <row r="499" spans="1:8" x14ac:dyDescent="0.3">
      <c r="A499" s="2" t="str">
        <f>HYPERLINK("https://hsdes.intel.com/resource/14013186950","14013186950")</f>
        <v>14013186950</v>
      </c>
      <c r="B499" s="2" t="s">
        <v>1044</v>
      </c>
      <c r="C499" s="2" t="s">
        <v>1043</v>
      </c>
      <c r="D499" s="6" t="s">
        <v>8</v>
      </c>
      <c r="E499" s="2"/>
      <c r="F499" s="2" t="s">
        <v>62</v>
      </c>
      <c r="G499" s="2" t="s">
        <v>63</v>
      </c>
      <c r="H499" s="2" t="s">
        <v>16</v>
      </c>
    </row>
    <row r="500" spans="1:8" x14ac:dyDescent="0.3">
      <c r="A500" s="2" t="str">
        <f>HYPERLINK("https://hsdes.intel.com/resource/14013186951","14013186951")</f>
        <v>14013186951</v>
      </c>
      <c r="B500" s="2" t="s">
        <v>1046</v>
      </c>
      <c r="C500" s="2" t="s">
        <v>1045</v>
      </c>
      <c r="D500" s="6" t="s">
        <v>8</v>
      </c>
      <c r="E500" s="2"/>
      <c r="F500" s="2" t="s">
        <v>62</v>
      </c>
      <c r="G500" s="2" t="s">
        <v>63</v>
      </c>
      <c r="H500" s="2" t="s">
        <v>16</v>
      </c>
    </row>
    <row r="501" spans="1:8" x14ac:dyDescent="0.3">
      <c r="A501" s="2" t="str">
        <f>HYPERLINK("https://hsdes.intel.com/resource/14013186953","14013186953")</f>
        <v>14013186953</v>
      </c>
      <c r="B501" s="2" t="s">
        <v>1048</v>
      </c>
      <c r="C501" s="2" t="s">
        <v>1047</v>
      </c>
      <c r="D501" s="6" t="s">
        <v>8</v>
      </c>
      <c r="E501" s="2"/>
      <c r="F501" s="2" t="s">
        <v>62</v>
      </c>
      <c r="G501" s="2" t="s">
        <v>63</v>
      </c>
      <c r="H501" s="2" t="s">
        <v>16</v>
      </c>
    </row>
    <row r="502" spans="1:8" x14ac:dyDescent="0.3">
      <c r="A502" s="2" t="str">
        <f>HYPERLINK("https://hsdes.intel.com/resource/14013186960","14013186960")</f>
        <v>14013186960</v>
      </c>
      <c r="B502" s="2" t="s">
        <v>875</v>
      </c>
      <c r="C502" s="2" t="s">
        <v>1049</v>
      </c>
      <c r="D502" s="6" t="s">
        <v>8</v>
      </c>
      <c r="E502" s="2"/>
      <c r="F502" s="2" t="s">
        <v>62</v>
      </c>
      <c r="G502" s="2" t="s">
        <v>63</v>
      </c>
      <c r="H502" s="2" t="s">
        <v>16</v>
      </c>
    </row>
    <row r="503" spans="1:8" x14ac:dyDescent="0.3">
      <c r="A503" s="2" t="str">
        <f>HYPERLINK("https://hsdes.intel.com/resource/14013186962","14013186962")</f>
        <v>14013186962</v>
      </c>
      <c r="B503" s="2" t="s">
        <v>1051</v>
      </c>
      <c r="C503" s="2" t="s">
        <v>1050</v>
      </c>
      <c r="D503" s="6" t="s">
        <v>8</v>
      </c>
      <c r="E503" s="2"/>
      <c r="F503" s="2" t="s">
        <v>62</v>
      </c>
      <c r="G503" s="2" t="s">
        <v>63</v>
      </c>
      <c r="H503" s="2" t="s">
        <v>16</v>
      </c>
    </row>
    <row r="504" spans="1:8" x14ac:dyDescent="0.3">
      <c r="A504" s="2" t="str">
        <f>HYPERLINK("https://hsdes.intel.com/resource/14013186967","14013186967")</f>
        <v>14013186967</v>
      </c>
      <c r="B504" s="2" t="s">
        <v>883</v>
      </c>
      <c r="C504" s="2" t="s">
        <v>1052</v>
      </c>
      <c r="D504" s="6" t="s">
        <v>8</v>
      </c>
      <c r="E504" s="2"/>
      <c r="F504" s="2" t="s">
        <v>62</v>
      </c>
      <c r="G504" s="2" t="s">
        <v>63</v>
      </c>
      <c r="H504" s="2" t="s">
        <v>16</v>
      </c>
    </row>
    <row r="505" spans="1:8" x14ac:dyDescent="0.3">
      <c r="A505" s="2" t="str">
        <f>HYPERLINK("https://hsdes.intel.com/resource/14013186971","14013186971")</f>
        <v>14013186971</v>
      </c>
      <c r="B505" s="2" t="s">
        <v>1054</v>
      </c>
      <c r="C505" s="2" t="s">
        <v>1053</v>
      </c>
      <c r="D505" s="6" t="s">
        <v>8</v>
      </c>
      <c r="E505" s="2"/>
      <c r="F505" s="2" t="s">
        <v>62</v>
      </c>
      <c r="G505" s="2" t="s">
        <v>63</v>
      </c>
      <c r="H505" s="2" t="s">
        <v>16</v>
      </c>
    </row>
    <row r="506" spans="1:8" x14ac:dyDescent="0.3">
      <c r="A506" s="2" t="str">
        <f>HYPERLINK("https://hsdes.intel.com/resource/14013186980","14013186980")</f>
        <v>14013186980</v>
      </c>
      <c r="B506" s="2" t="s">
        <v>1056</v>
      </c>
      <c r="C506" s="2" t="s">
        <v>1055</v>
      </c>
      <c r="D506" s="6" t="s">
        <v>8</v>
      </c>
      <c r="E506" s="2"/>
      <c r="F506" s="2" t="s">
        <v>62</v>
      </c>
      <c r="G506" s="2" t="s">
        <v>63</v>
      </c>
      <c r="H506" s="2" t="s">
        <v>16</v>
      </c>
    </row>
    <row r="507" spans="1:8" x14ac:dyDescent="0.3">
      <c r="A507" s="2" t="str">
        <f>HYPERLINK("https://hsdes.intel.com/resource/14013186993","14013186993")</f>
        <v>14013186993</v>
      </c>
      <c r="B507" s="2" t="s">
        <v>1058</v>
      </c>
      <c r="C507" s="2" t="s">
        <v>1057</v>
      </c>
      <c r="D507" s="6" t="s">
        <v>8</v>
      </c>
      <c r="E507" s="2"/>
      <c r="F507" s="2" t="s">
        <v>62</v>
      </c>
      <c r="G507" s="2" t="s">
        <v>63</v>
      </c>
      <c r="H507" s="2" t="s">
        <v>16</v>
      </c>
    </row>
    <row r="508" spans="1:8" x14ac:dyDescent="0.3">
      <c r="A508" s="2" t="str">
        <f>HYPERLINK("https://hsdes.intel.com/resource/14013186997","14013186997")</f>
        <v>14013186997</v>
      </c>
      <c r="B508" s="2" t="s">
        <v>1060</v>
      </c>
      <c r="C508" s="2" t="s">
        <v>1059</v>
      </c>
      <c r="D508" s="6" t="s">
        <v>8</v>
      </c>
      <c r="E508" s="2"/>
      <c r="F508" s="2" t="s">
        <v>62</v>
      </c>
      <c r="G508" s="2" t="s">
        <v>63</v>
      </c>
      <c r="H508" s="2" t="s">
        <v>16</v>
      </c>
    </row>
    <row r="509" spans="1:8" x14ac:dyDescent="0.3">
      <c r="A509" s="2" t="str">
        <f>HYPERLINK("https://hsdes.intel.com/resource/14013187018","14013187018")</f>
        <v>14013187018</v>
      </c>
      <c r="B509" s="2" t="s">
        <v>1062</v>
      </c>
      <c r="C509" s="2" t="s">
        <v>1061</v>
      </c>
      <c r="D509" s="6" t="s">
        <v>8</v>
      </c>
      <c r="E509" s="2"/>
      <c r="F509" s="2" t="s">
        <v>62</v>
      </c>
      <c r="G509" s="2" t="s">
        <v>63</v>
      </c>
      <c r="H509" s="2" t="s">
        <v>16</v>
      </c>
    </row>
    <row r="510" spans="1:8" x14ac:dyDescent="0.3">
      <c r="A510" s="2" t="str">
        <f>HYPERLINK("https://hsdes.intel.com/resource/14013187020","14013187020")</f>
        <v>14013187020</v>
      </c>
      <c r="B510" s="2" t="s">
        <v>1064</v>
      </c>
      <c r="C510" s="2" t="s">
        <v>1063</v>
      </c>
      <c r="D510" s="6" t="s">
        <v>8</v>
      </c>
      <c r="E510" s="2"/>
      <c r="F510" s="2" t="s">
        <v>62</v>
      </c>
      <c r="G510" s="2" t="s">
        <v>63</v>
      </c>
      <c r="H510" s="2" t="s">
        <v>16</v>
      </c>
    </row>
    <row r="511" spans="1:8" x14ac:dyDescent="0.3">
      <c r="A511" s="2" t="str">
        <f>HYPERLINK("https://hsdes.intel.com/resource/14013187021","14013187021")</f>
        <v>14013187021</v>
      </c>
      <c r="B511" s="2" t="s">
        <v>1066</v>
      </c>
      <c r="C511" s="2" t="s">
        <v>1065</v>
      </c>
      <c r="D511" s="6" t="s">
        <v>8</v>
      </c>
      <c r="E511" s="2"/>
      <c r="F511" s="2" t="s">
        <v>62</v>
      </c>
      <c r="G511" s="2" t="s">
        <v>63</v>
      </c>
      <c r="H511" s="2" t="s">
        <v>16</v>
      </c>
    </row>
    <row r="512" spans="1:8" x14ac:dyDescent="0.3">
      <c r="A512" s="2" t="str">
        <f>HYPERLINK("https://hsdes.intel.com/resource/14013187024","14013187024")</f>
        <v>14013187024</v>
      </c>
      <c r="B512" s="2" t="s">
        <v>1068</v>
      </c>
      <c r="C512" s="2" t="s">
        <v>1067</v>
      </c>
      <c r="D512" s="6" t="s">
        <v>8</v>
      </c>
      <c r="E512" s="2"/>
      <c r="F512" s="2" t="s">
        <v>62</v>
      </c>
      <c r="G512" s="2" t="s">
        <v>63</v>
      </c>
      <c r="H512" s="2" t="s">
        <v>16</v>
      </c>
    </row>
    <row r="513" spans="1:8" x14ac:dyDescent="0.3">
      <c r="A513" s="2" t="str">
        <f>HYPERLINK("https://hsdes.intel.com/resource/14013187026","14013187026")</f>
        <v>14013187026</v>
      </c>
      <c r="B513" s="2" t="s">
        <v>1070</v>
      </c>
      <c r="C513" s="2" t="s">
        <v>1069</v>
      </c>
      <c r="D513" s="6" t="s">
        <v>8</v>
      </c>
      <c r="E513" s="2"/>
      <c r="F513" s="2" t="s">
        <v>62</v>
      </c>
      <c r="G513" s="2" t="s">
        <v>63</v>
      </c>
      <c r="H513" s="2" t="s">
        <v>16</v>
      </c>
    </row>
    <row r="514" spans="1:8" x14ac:dyDescent="0.3">
      <c r="A514" s="2" t="str">
        <f>HYPERLINK("https://hsdes.intel.com/resource/14013187276","14013187276")</f>
        <v>14013187276</v>
      </c>
      <c r="B514" s="2" t="s">
        <v>1072</v>
      </c>
      <c r="C514" s="2" t="s">
        <v>1071</v>
      </c>
      <c r="D514" s="6" t="s">
        <v>8</v>
      </c>
      <c r="E514" s="2"/>
      <c r="F514" s="2" t="s">
        <v>25</v>
      </c>
      <c r="G514" s="2" t="s">
        <v>26</v>
      </c>
      <c r="H514" s="2" t="s">
        <v>16</v>
      </c>
    </row>
    <row r="515" spans="1:8" x14ac:dyDescent="0.3">
      <c r="A515" s="2" t="str">
        <f>HYPERLINK("https://hsdes.intel.com/resource/14013187357","14013187357")</f>
        <v>14013187357</v>
      </c>
      <c r="B515" s="2" t="s">
        <v>1074</v>
      </c>
      <c r="C515" s="2" t="s">
        <v>1073</v>
      </c>
      <c r="D515" s="6" t="s">
        <v>8</v>
      </c>
      <c r="E515" s="2"/>
      <c r="F515" s="2" t="s">
        <v>25</v>
      </c>
      <c r="G515" s="2" t="s">
        <v>201</v>
      </c>
      <c r="H515" s="2" t="s">
        <v>16</v>
      </c>
    </row>
    <row r="516" spans="1:8" x14ac:dyDescent="0.3">
      <c r="A516" s="2" t="str">
        <f>HYPERLINK("https://hsdes.intel.com/resource/14013187485","14013187485")</f>
        <v>14013187485</v>
      </c>
      <c r="B516" s="2" t="s">
        <v>1076</v>
      </c>
      <c r="C516" s="2" t="s">
        <v>1075</v>
      </c>
      <c r="D516" s="6" t="s">
        <v>8</v>
      </c>
      <c r="E516" s="2"/>
      <c r="F516" s="2" t="s">
        <v>135</v>
      </c>
      <c r="G516" s="2" t="s">
        <v>136</v>
      </c>
      <c r="H516" s="2" t="s">
        <v>16</v>
      </c>
    </row>
    <row r="517" spans="1:8" x14ac:dyDescent="0.3">
      <c r="A517" s="2" t="str">
        <f>HYPERLINK("https://hsdes.intel.com/resource/14013187722","14013187722")</f>
        <v>14013187722</v>
      </c>
      <c r="B517" s="2" t="s">
        <v>1078</v>
      </c>
      <c r="C517" s="2" t="s">
        <v>1077</v>
      </c>
      <c r="D517" s="6" t="s">
        <v>8</v>
      </c>
      <c r="E517" s="2"/>
      <c r="F517" s="2" t="s">
        <v>29</v>
      </c>
      <c r="G517" s="2" t="s">
        <v>63</v>
      </c>
      <c r="H517" s="2" t="s">
        <v>16</v>
      </c>
    </row>
    <row r="518" spans="1:8" x14ac:dyDescent="0.3">
      <c r="A518" s="2" t="str">
        <f>HYPERLINK("https://hsdes.intel.com/resource/16012332169","16012332169")</f>
        <v>16012332169</v>
      </c>
      <c r="B518" s="2" t="s">
        <v>1080</v>
      </c>
      <c r="C518" s="2" t="s">
        <v>1079</v>
      </c>
      <c r="D518" s="6" t="s">
        <v>8</v>
      </c>
      <c r="E518" s="2"/>
      <c r="F518" s="2" t="s">
        <v>62</v>
      </c>
      <c r="G518" s="2" t="s">
        <v>63</v>
      </c>
      <c r="H518" s="2" t="s">
        <v>11</v>
      </c>
    </row>
    <row r="519" spans="1:8" x14ac:dyDescent="0.3">
      <c r="A519" s="2" t="str">
        <f>HYPERLINK("https://hsdes.intel.com/resource/16012555118","16012555118")</f>
        <v>16012555118</v>
      </c>
      <c r="B519" s="2" t="s">
        <v>1082</v>
      </c>
      <c r="C519" s="2" t="s">
        <v>1081</v>
      </c>
      <c r="D519" s="6" t="s">
        <v>8</v>
      </c>
      <c r="E519" s="2"/>
      <c r="F519" s="2" t="s">
        <v>62</v>
      </c>
      <c r="G519" s="2" t="s">
        <v>63</v>
      </c>
      <c r="H519" s="2" t="s">
        <v>16</v>
      </c>
    </row>
    <row r="520" spans="1:8" x14ac:dyDescent="0.3">
      <c r="A520" s="2" t="str">
        <f>HYPERLINK("https://hsdes.intel.com/resource/16012641932","16012641932")</f>
        <v>16012641932</v>
      </c>
      <c r="B520" s="2" t="s">
        <v>1084</v>
      </c>
      <c r="C520" s="2" t="s">
        <v>1083</v>
      </c>
      <c r="D520" s="6" t="s">
        <v>8</v>
      </c>
      <c r="E520" s="2"/>
      <c r="F520" s="2" t="s">
        <v>135</v>
      </c>
      <c r="G520" s="2" t="s">
        <v>1085</v>
      </c>
      <c r="H520" s="2" t="s">
        <v>16</v>
      </c>
    </row>
    <row r="521" spans="1:8" x14ac:dyDescent="0.3">
      <c r="A521" s="2" t="str">
        <f>HYPERLINK("https://hsdes.intel.com/resource/16012719552","16012719552")</f>
        <v>16012719552</v>
      </c>
      <c r="B521" s="2" t="s">
        <v>1086</v>
      </c>
      <c r="C521" s="2"/>
      <c r="D521" s="6" t="s">
        <v>8</v>
      </c>
      <c r="E521" s="2"/>
      <c r="F521" s="2" t="s">
        <v>638</v>
      </c>
      <c r="G521" s="2" t="s">
        <v>98</v>
      </c>
      <c r="H521" s="2" t="s">
        <v>16</v>
      </c>
    </row>
    <row r="522" spans="1:8" x14ac:dyDescent="0.3">
      <c r="A522" s="2" t="str">
        <f>HYPERLINK("https://hsdes.intel.com/resource/16012845721","16012845721")</f>
        <v>16012845721</v>
      </c>
      <c r="B522" s="2" t="s">
        <v>1087</v>
      </c>
      <c r="C522" s="2" t="s">
        <v>58</v>
      </c>
      <c r="D522" s="6" t="s">
        <v>8</v>
      </c>
      <c r="E522" s="2"/>
      <c r="F522" s="2" t="s">
        <v>25</v>
      </c>
      <c r="G522" s="2" t="s">
        <v>26</v>
      </c>
      <c r="H522" s="2" t="s">
        <v>11</v>
      </c>
    </row>
    <row r="523" spans="1:8" x14ac:dyDescent="0.3">
      <c r="A523" s="2" t="str">
        <f>HYPERLINK("https://hsdes.intel.com/resource/16012847899","16012847899")</f>
        <v>16012847899</v>
      </c>
      <c r="B523" s="2" t="s">
        <v>1088</v>
      </c>
      <c r="C523" s="2" t="s">
        <v>58</v>
      </c>
      <c r="D523" s="6" t="s">
        <v>8</v>
      </c>
      <c r="E523" s="2"/>
      <c r="F523" s="2" t="s">
        <v>25</v>
      </c>
      <c r="G523" s="2" t="s">
        <v>26</v>
      </c>
      <c r="H523" s="2" t="s">
        <v>11</v>
      </c>
    </row>
    <row r="524" spans="1:8" x14ac:dyDescent="0.3">
      <c r="A524" s="2" t="str">
        <f>HYPERLINK("https://hsdes.intel.com/resource/16012847938","16012847938")</f>
        <v>16012847938</v>
      </c>
      <c r="B524" s="2" t="s">
        <v>1089</v>
      </c>
      <c r="C524" s="2" t="s">
        <v>58</v>
      </c>
      <c r="D524" s="6" t="s">
        <v>8</v>
      </c>
      <c r="E524" s="2"/>
      <c r="F524" s="2" t="s">
        <v>25</v>
      </c>
      <c r="G524" s="2" t="s">
        <v>26</v>
      </c>
      <c r="H524" s="2" t="s">
        <v>11</v>
      </c>
    </row>
    <row r="525" spans="1:8" x14ac:dyDescent="0.3">
      <c r="A525" s="2" t="str">
        <f>HYPERLINK("https://hsdes.intel.com/resource/16012847945","16012847945")</f>
        <v>16012847945</v>
      </c>
      <c r="B525" s="2" t="s">
        <v>1090</v>
      </c>
      <c r="C525" s="2" t="s">
        <v>58</v>
      </c>
      <c r="D525" s="6" t="s">
        <v>8</v>
      </c>
      <c r="E525" s="2"/>
      <c r="F525" s="2" t="s">
        <v>25</v>
      </c>
      <c r="G525" s="2" t="s">
        <v>26</v>
      </c>
      <c r="H525" s="2" t="s">
        <v>11</v>
      </c>
    </row>
    <row r="526" spans="1:8" x14ac:dyDescent="0.3">
      <c r="A526" s="2" t="str">
        <f>HYPERLINK("https://hsdes.intel.com/resource/16012848216","16012848216")</f>
        <v>16012848216</v>
      </c>
      <c r="B526" s="2" t="s">
        <v>1091</v>
      </c>
      <c r="C526" s="2"/>
      <c r="D526" s="6" t="s">
        <v>8</v>
      </c>
      <c r="E526" s="2"/>
      <c r="F526" s="2" t="s">
        <v>558</v>
      </c>
      <c r="G526" s="2" t="s">
        <v>559</v>
      </c>
      <c r="H526" s="2" t="s">
        <v>41</v>
      </c>
    </row>
    <row r="527" spans="1:8" x14ac:dyDescent="0.3">
      <c r="A527" s="2" t="str">
        <f>HYPERLINK("https://hsdes.intel.com/resource/16012909857","16012909857")</f>
        <v>16012909857</v>
      </c>
      <c r="B527" s="2" t="s">
        <v>1092</v>
      </c>
      <c r="C527" s="2" t="s">
        <v>58</v>
      </c>
      <c r="D527" s="6" t="s">
        <v>8</v>
      </c>
      <c r="E527" s="2"/>
      <c r="F527" s="2" t="s">
        <v>25</v>
      </c>
      <c r="G527" s="2" t="s">
        <v>26</v>
      </c>
      <c r="H527" s="2" t="s">
        <v>11</v>
      </c>
    </row>
    <row r="528" spans="1:8" x14ac:dyDescent="0.3">
      <c r="A528" s="2" t="str">
        <f>HYPERLINK("https://hsdes.intel.com/resource/16012963869","16012963869")</f>
        <v>16012963869</v>
      </c>
      <c r="B528" s="2" t="s">
        <v>1094</v>
      </c>
      <c r="C528" s="2" t="s">
        <v>1093</v>
      </c>
      <c r="D528" s="6" t="s">
        <v>8</v>
      </c>
      <c r="E528" s="2"/>
      <c r="F528" s="2" t="s">
        <v>33</v>
      </c>
      <c r="G528" s="2" t="s">
        <v>155</v>
      </c>
      <c r="H528" s="2" t="s">
        <v>16</v>
      </c>
    </row>
    <row r="529" spans="1:8" x14ac:dyDescent="0.3">
      <c r="A529" s="2" t="str">
        <f>HYPERLINK("https://hsdes.intel.com/resource/16013020907","16013020907")</f>
        <v>16013020907</v>
      </c>
      <c r="B529" s="2" t="s">
        <v>1096</v>
      </c>
      <c r="C529" s="2" t="s">
        <v>1095</v>
      </c>
      <c r="D529" s="6" t="s">
        <v>8</v>
      </c>
      <c r="E529" s="2"/>
      <c r="F529" s="2" t="s">
        <v>1097</v>
      </c>
      <c r="G529" s="2" t="s">
        <v>63</v>
      </c>
      <c r="H529" s="2" t="s">
        <v>16</v>
      </c>
    </row>
    <row r="530" spans="1:8" x14ac:dyDescent="0.3">
      <c r="A530" s="2" t="str">
        <f>HYPERLINK("https://hsdes.intel.com/resource/16013162130","16013162130")</f>
        <v>16013162130</v>
      </c>
      <c r="B530" s="2" t="s">
        <v>1098</v>
      </c>
      <c r="C530" s="2"/>
      <c r="D530" s="6" t="s">
        <v>8</v>
      </c>
      <c r="E530" s="2" t="s">
        <v>1246</v>
      </c>
      <c r="F530" s="2" t="s">
        <v>9</v>
      </c>
      <c r="G530" s="2" t="s">
        <v>10</v>
      </c>
      <c r="H530" s="2" t="s">
        <v>11</v>
      </c>
    </row>
    <row r="531" spans="1:8" x14ac:dyDescent="0.3">
      <c r="A531" s="2" t="str">
        <f>HYPERLINK("https://hsdes.intel.com/resource/16013162482","16013162482")</f>
        <v>16013162482</v>
      </c>
      <c r="B531" s="2" t="s">
        <v>1099</v>
      </c>
      <c r="C531" s="2"/>
      <c r="D531" s="6" t="s">
        <v>8</v>
      </c>
      <c r="E531" s="2" t="s">
        <v>1246</v>
      </c>
      <c r="F531" s="2" t="s">
        <v>9</v>
      </c>
      <c r="G531" s="2" t="s">
        <v>10</v>
      </c>
      <c r="H531" s="2" t="s">
        <v>16</v>
      </c>
    </row>
    <row r="532" spans="1:8" x14ac:dyDescent="0.3">
      <c r="A532" s="2" t="str">
        <f>HYPERLINK("https://hsdes.intel.com/resource/16013214329","16013214329")</f>
        <v>16013214329</v>
      </c>
      <c r="B532" s="2" t="s">
        <v>1101</v>
      </c>
      <c r="C532" s="2" t="s">
        <v>1100</v>
      </c>
      <c r="D532" s="6" t="s">
        <v>8</v>
      </c>
      <c r="E532" s="2"/>
      <c r="F532" s="2" t="s">
        <v>62</v>
      </c>
      <c r="G532" s="2" t="s">
        <v>63</v>
      </c>
      <c r="H532" s="2" t="s">
        <v>16</v>
      </c>
    </row>
    <row r="533" spans="1:8" x14ac:dyDescent="0.3">
      <c r="A533" s="2" t="str">
        <f>HYPERLINK("https://hsdes.intel.com/resource/16013279841","16013279841")</f>
        <v>16013279841</v>
      </c>
      <c r="B533" s="2" t="s">
        <v>1102</v>
      </c>
      <c r="C533" s="2"/>
      <c r="D533" s="6" t="s">
        <v>8</v>
      </c>
      <c r="E533" s="2"/>
      <c r="F533" s="2" t="s">
        <v>135</v>
      </c>
      <c r="G533" s="2" t="s">
        <v>1103</v>
      </c>
      <c r="H533" s="2" t="s">
        <v>11</v>
      </c>
    </row>
    <row r="534" spans="1:8" x14ac:dyDescent="0.3">
      <c r="A534" s="2" t="str">
        <f>HYPERLINK("https://hsdes.intel.com/resource/16013297707","16013297707")</f>
        <v>16013297707</v>
      </c>
      <c r="B534" s="2" t="s">
        <v>1104</v>
      </c>
      <c r="C534" s="2"/>
      <c r="D534" s="6" t="s">
        <v>8</v>
      </c>
      <c r="E534" s="2" t="s">
        <v>1246</v>
      </c>
      <c r="F534" s="2" t="s">
        <v>9</v>
      </c>
      <c r="G534" s="2" t="s">
        <v>799</v>
      </c>
      <c r="H534" s="2" t="s">
        <v>11</v>
      </c>
    </row>
    <row r="535" spans="1:8" x14ac:dyDescent="0.3">
      <c r="A535" s="2" t="str">
        <f>HYPERLINK("https://hsdes.intel.com/resource/16013297709","16013297709")</f>
        <v>16013297709</v>
      </c>
      <c r="B535" s="2" t="s">
        <v>1105</v>
      </c>
      <c r="C535" s="2"/>
      <c r="D535" s="6" t="s">
        <v>8</v>
      </c>
      <c r="E535" s="2" t="s">
        <v>1246</v>
      </c>
      <c r="F535" s="2" t="s">
        <v>9</v>
      </c>
      <c r="G535" s="2" t="s">
        <v>799</v>
      </c>
      <c r="H535" s="2" t="s">
        <v>11</v>
      </c>
    </row>
    <row r="536" spans="1:8" x14ac:dyDescent="0.3">
      <c r="A536" s="2" t="str">
        <f>HYPERLINK("https://hsdes.intel.com/resource/16013373086","16013373086")</f>
        <v>16013373086</v>
      </c>
      <c r="B536" s="2" t="s">
        <v>1106</v>
      </c>
      <c r="C536" s="2"/>
      <c r="D536" s="6" t="s">
        <v>8</v>
      </c>
      <c r="E536" s="2" t="s">
        <v>1246</v>
      </c>
      <c r="F536" s="2" t="s">
        <v>9</v>
      </c>
      <c r="G536" s="2" t="s">
        <v>10</v>
      </c>
      <c r="H536" s="2" t="s">
        <v>16</v>
      </c>
    </row>
    <row r="537" spans="1:8" x14ac:dyDescent="0.3">
      <c r="A537" s="2" t="str">
        <f>HYPERLINK("https://hsdes.intel.com/resource/16013373198","16013373198")</f>
        <v>16013373198</v>
      </c>
      <c r="B537" s="2" t="s">
        <v>1107</v>
      </c>
      <c r="C537" s="2"/>
      <c r="D537" s="6" t="s">
        <v>8</v>
      </c>
      <c r="E537" s="2" t="s">
        <v>1246</v>
      </c>
      <c r="F537" s="2" t="s">
        <v>9</v>
      </c>
      <c r="G537" s="2" t="s">
        <v>10</v>
      </c>
      <c r="H537" s="2" t="s">
        <v>16</v>
      </c>
    </row>
    <row r="538" spans="1:8" x14ac:dyDescent="0.3">
      <c r="A538" s="2" t="str">
        <f>HYPERLINK("https://hsdes.intel.com/resource/16013373341","16013373341")</f>
        <v>16013373341</v>
      </c>
      <c r="B538" s="2" t="s">
        <v>1108</v>
      </c>
      <c r="C538" s="2"/>
      <c r="D538" s="6" t="s">
        <v>8</v>
      </c>
      <c r="E538" s="2" t="s">
        <v>1246</v>
      </c>
      <c r="F538" s="2" t="s">
        <v>9</v>
      </c>
      <c r="G538" s="2" t="s">
        <v>10</v>
      </c>
      <c r="H538" s="2" t="s">
        <v>16</v>
      </c>
    </row>
    <row r="539" spans="1:8" x14ac:dyDescent="0.3">
      <c r="A539" s="2" t="str">
        <f>HYPERLINK("https://hsdes.intel.com/resource/16013624962","16013624962")</f>
        <v>16013624962</v>
      </c>
      <c r="B539" s="2" t="s">
        <v>1109</v>
      </c>
      <c r="C539" s="2"/>
      <c r="D539" s="6" t="s">
        <v>8</v>
      </c>
      <c r="E539" s="2"/>
      <c r="F539" s="2" t="s">
        <v>638</v>
      </c>
      <c r="G539" s="2" t="s">
        <v>1110</v>
      </c>
      <c r="H539" s="2" t="s">
        <v>16</v>
      </c>
    </row>
    <row r="540" spans="1:8" x14ac:dyDescent="0.3">
      <c r="A540" s="2" t="str">
        <f>HYPERLINK("https://hsdes.intel.com/resource/16013625244","16013625244")</f>
        <v>16013625244</v>
      </c>
      <c r="B540" s="2" t="s">
        <v>1111</v>
      </c>
      <c r="C540" s="2"/>
      <c r="D540" s="6" t="s">
        <v>8</v>
      </c>
      <c r="E540" s="2"/>
      <c r="F540" s="2" t="s">
        <v>638</v>
      </c>
      <c r="G540" s="2" t="s">
        <v>1110</v>
      </c>
      <c r="H540" s="2" t="s">
        <v>16</v>
      </c>
    </row>
    <row r="541" spans="1:8" x14ac:dyDescent="0.3">
      <c r="A541" s="2" t="str">
        <f>HYPERLINK("https://hsdes.intel.com/resource/16013625700","16013625700")</f>
        <v>16013625700</v>
      </c>
      <c r="B541" s="2" t="s">
        <v>1112</v>
      </c>
      <c r="C541" s="2"/>
      <c r="D541" s="6" t="s">
        <v>8</v>
      </c>
      <c r="E541" s="2"/>
      <c r="F541" s="2" t="s">
        <v>638</v>
      </c>
      <c r="G541" s="2" t="s">
        <v>1110</v>
      </c>
      <c r="H541" s="2" t="s">
        <v>16</v>
      </c>
    </row>
    <row r="542" spans="1:8" x14ac:dyDescent="0.3">
      <c r="A542" s="2" t="str">
        <f>HYPERLINK("https://hsdes.intel.com/resource/16013625720","16013625720")</f>
        <v>16013625720</v>
      </c>
      <c r="B542" s="2" t="s">
        <v>1113</v>
      </c>
      <c r="C542" s="2"/>
      <c r="D542" s="6" t="s">
        <v>8</v>
      </c>
      <c r="E542" s="2"/>
      <c r="F542" s="2" t="s">
        <v>638</v>
      </c>
      <c r="G542" s="2" t="s">
        <v>1110</v>
      </c>
      <c r="H542" s="2" t="s">
        <v>16</v>
      </c>
    </row>
    <row r="543" spans="1:8" x14ac:dyDescent="0.3">
      <c r="A543" s="2" t="str">
        <f>HYPERLINK("https://hsdes.intel.com/resource/16013625823","16013625823")</f>
        <v>16013625823</v>
      </c>
      <c r="B543" s="2" t="s">
        <v>1114</v>
      </c>
      <c r="C543" s="2"/>
      <c r="D543" s="6" t="s">
        <v>8</v>
      </c>
      <c r="E543" s="2"/>
      <c r="F543" s="2" t="s">
        <v>638</v>
      </c>
      <c r="G543" s="2" t="s">
        <v>1110</v>
      </c>
      <c r="H543" s="2" t="s">
        <v>16</v>
      </c>
    </row>
    <row r="544" spans="1:8" x14ac:dyDescent="0.3">
      <c r="A544" s="2" t="str">
        <f>HYPERLINK("https://hsdes.intel.com/resource/16013625853","16013625853")</f>
        <v>16013625853</v>
      </c>
      <c r="B544" s="2" t="s">
        <v>1115</v>
      </c>
      <c r="C544" s="2"/>
      <c r="D544" s="6" t="s">
        <v>8</v>
      </c>
      <c r="E544" s="2"/>
      <c r="F544" s="2" t="s">
        <v>638</v>
      </c>
      <c r="G544" s="2" t="s">
        <v>1110</v>
      </c>
      <c r="H544" s="2" t="s">
        <v>16</v>
      </c>
    </row>
    <row r="545" spans="1:8" x14ac:dyDescent="0.3">
      <c r="A545" s="2" t="str">
        <f>HYPERLINK("https://hsdes.intel.com/resource/16013625877","16013625877")</f>
        <v>16013625877</v>
      </c>
      <c r="B545" s="2" t="s">
        <v>1116</v>
      </c>
      <c r="C545" s="2"/>
      <c r="D545" s="6" t="s">
        <v>8</v>
      </c>
      <c r="E545" s="2"/>
      <c r="F545" s="2" t="s">
        <v>638</v>
      </c>
      <c r="G545" s="2" t="s">
        <v>1110</v>
      </c>
      <c r="H545" s="2" t="s">
        <v>16</v>
      </c>
    </row>
    <row r="546" spans="1:8" x14ac:dyDescent="0.3">
      <c r="A546" s="2" t="str">
        <f>HYPERLINK("https://hsdes.intel.com/resource/16013635190","16013635190")</f>
        <v>16013635190</v>
      </c>
      <c r="B546" s="2" t="s">
        <v>1117</v>
      </c>
      <c r="C546" s="2"/>
      <c r="D546" s="6" t="s">
        <v>8</v>
      </c>
      <c r="E546" s="2"/>
      <c r="F546" s="2" t="s">
        <v>638</v>
      </c>
      <c r="G546" s="2" t="s">
        <v>1110</v>
      </c>
      <c r="H546" s="2" t="s">
        <v>16</v>
      </c>
    </row>
    <row r="547" spans="1:8" x14ac:dyDescent="0.3">
      <c r="A547" s="2" t="str">
        <f>HYPERLINK("https://hsdes.intel.com/resource/16013636200","16013636200")</f>
        <v>16013636200</v>
      </c>
      <c r="B547" s="2" t="s">
        <v>1118</v>
      </c>
      <c r="C547" s="2"/>
      <c r="D547" s="6" t="s">
        <v>8</v>
      </c>
      <c r="E547" s="2"/>
      <c r="F547" s="2" t="s">
        <v>638</v>
      </c>
      <c r="G547" s="2" t="s">
        <v>1110</v>
      </c>
      <c r="H547" s="2" t="s">
        <v>16</v>
      </c>
    </row>
    <row r="548" spans="1:8" x14ac:dyDescent="0.3">
      <c r="A548" s="2" t="str">
        <f>HYPERLINK("https://hsdes.intel.com/resource/16013636340","16013636340")</f>
        <v>16013636340</v>
      </c>
      <c r="B548" s="2" t="s">
        <v>1119</v>
      </c>
      <c r="C548" s="2"/>
      <c r="D548" s="6" t="s">
        <v>8</v>
      </c>
      <c r="E548" s="2"/>
      <c r="F548" s="2" t="s">
        <v>638</v>
      </c>
      <c r="G548" s="2" t="s">
        <v>1110</v>
      </c>
      <c r="H548" s="2" t="s">
        <v>16</v>
      </c>
    </row>
    <row r="549" spans="1:8" x14ac:dyDescent="0.3">
      <c r="A549" s="2" t="str">
        <f>HYPERLINK("https://hsdes.intel.com/resource/16013636702","16013636702")</f>
        <v>16013636702</v>
      </c>
      <c r="B549" s="2" t="s">
        <v>1120</v>
      </c>
      <c r="C549" s="2"/>
      <c r="D549" s="6" t="s">
        <v>8</v>
      </c>
      <c r="E549" s="2"/>
      <c r="F549" s="2" t="s">
        <v>638</v>
      </c>
      <c r="G549" s="2" t="s">
        <v>1110</v>
      </c>
      <c r="H549" s="2" t="s">
        <v>16</v>
      </c>
    </row>
    <row r="550" spans="1:8" x14ac:dyDescent="0.3">
      <c r="A550" s="2" t="str">
        <f>HYPERLINK("https://hsdes.intel.com/resource/16013636795","16013636795")</f>
        <v>16013636795</v>
      </c>
      <c r="B550" s="2" t="s">
        <v>1121</v>
      </c>
      <c r="C550" s="2"/>
      <c r="D550" s="6" t="s">
        <v>8</v>
      </c>
      <c r="E550" s="2"/>
      <c r="F550" s="2" t="s">
        <v>638</v>
      </c>
      <c r="G550" s="2" t="s">
        <v>1110</v>
      </c>
      <c r="H550" s="2" t="s">
        <v>16</v>
      </c>
    </row>
    <row r="551" spans="1:8" x14ac:dyDescent="0.3">
      <c r="A551" s="2" t="str">
        <f>HYPERLINK("https://hsdes.intel.com/resource/16013636831","16013636831")</f>
        <v>16013636831</v>
      </c>
      <c r="B551" s="2" t="s">
        <v>1122</v>
      </c>
      <c r="C551" s="2"/>
      <c r="D551" s="6" t="s">
        <v>8</v>
      </c>
      <c r="E551" s="2"/>
      <c r="F551" s="2" t="s">
        <v>638</v>
      </c>
      <c r="G551" s="2" t="s">
        <v>1110</v>
      </c>
      <c r="H551" s="2" t="s">
        <v>16</v>
      </c>
    </row>
    <row r="552" spans="1:8" x14ac:dyDescent="0.3">
      <c r="A552" s="2" t="str">
        <f>HYPERLINK("https://hsdes.intel.com/resource/16013637145","16013637145")</f>
        <v>16013637145</v>
      </c>
      <c r="B552" s="2" t="s">
        <v>1123</v>
      </c>
      <c r="C552" s="2"/>
      <c r="D552" s="6" t="s">
        <v>8</v>
      </c>
      <c r="E552" s="2"/>
      <c r="F552" s="2" t="s">
        <v>638</v>
      </c>
      <c r="G552" s="2" t="s">
        <v>98</v>
      </c>
      <c r="H552" s="2" t="s">
        <v>16</v>
      </c>
    </row>
    <row r="553" spans="1:8" x14ac:dyDescent="0.3">
      <c r="A553" s="2" t="str">
        <f>HYPERLINK("https://hsdes.intel.com/resource/16013676825","16013676825")</f>
        <v>16013676825</v>
      </c>
      <c r="B553" s="2" t="s">
        <v>1124</v>
      </c>
      <c r="C553" s="2" t="s">
        <v>401</v>
      </c>
      <c r="D553" s="6" t="s">
        <v>8</v>
      </c>
      <c r="E553" s="2"/>
      <c r="F553" s="2" t="s">
        <v>9</v>
      </c>
      <c r="G553" s="2" t="s">
        <v>10</v>
      </c>
      <c r="H553" s="2" t="s">
        <v>41</v>
      </c>
    </row>
    <row r="554" spans="1:8" x14ac:dyDescent="0.3">
      <c r="A554" s="2" t="str">
        <f>HYPERLINK("https://hsdes.intel.com/resource/16013676942","16013676942")</f>
        <v>16013676942</v>
      </c>
      <c r="B554" s="2" t="s">
        <v>1125</v>
      </c>
      <c r="C554" s="2" t="s">
        <v>395</v>
      </c>
      <c r="D554" s="6" t="s">
        <v>8</v>
      </c>
      <c r="E554" s="2"/>
      <c r="F554" s="2" t="s">
        <v>9</v>
      </c>
      <c r="G554" s="2" t="s">
        <v>10</v>
      </c>
      <c r="H554" s="2" t="s">
        <v>16</v>
      </c>
    </row>
    <row r="555" spans="1:8" x14ac:dyDescent="0.3">
      <c r="A555" s="2" t="str">
        <f>HYPERLINK("https://hsdes.intel.com/resource/16013677643","16013677643")</f>
        <v>16013677643</v>
      </c>
      <c r="B555" s="2" t="s">
        <v>1126</v>
      </c>
      <c r="C555" s="2" t="s">
        <v>393</v>
      </c>
      <c r="D555" s="6" t="s">
        <v>8</v>
      </c>
      <c r="E555" s="2"/>
      <c r="F555" s="2" t="s">
        <v>9</v>
      </c>
      <c r="G555" s="2" t="s">
        <v>10</v>
      </c>
      <c r="H555" s="2" t="s">
        <v>16</v>
      </c>
    </row>
    <row r="556" spans="1:8" x14ac:dyDescent="0.3">
      <c r="A556" s="2" t="str">
        <f>HYPERLINK("https://hsdes.intel.com/resource/16013681042","16013681042")</f>
        <v>16013681042</v>
      </c>
      <c r="B556" s="2" t="s">
        <v>1127</v>
      </c>
      <c r="C556" s="2" t="s">
        <v>387</v>
      </c>
      <c r="D556" s="6" t="s">
        <v>8</v>
      </c>
      <c r="E556" s="2"/>
      <c r="F556" s="2" t="s">
        <v>9</v>
      </c>
      <c r="G556" s="2" t="s">
        <v>10</v>
      </c>
      <c r="H556" s="2" t="s">
        <v>16</v>
      </c>
    </row>
    <row r="557" spans="1:8" x14ac:dyDescent="0.3">
      <c r="A557" s="2" t="str">
        <f>HYPERLINK("https://hsdes.intel.com/resource/16013686490","16013686490")</f>
        <v>16013686490</v>
      </c>
      <c r="B557" s="2" t="s">
        <v>1128</v>
      </c>
      <c r="C557" s="2" t="s">
        <v>385</v>
      </c>
      <c r="D557" s="6" t="s">
        <v>8</v>
      </c>
      <c r="E557" s="2"/>
      <c r="F557" s="2" t="s">
        <v>9</v>
      </c>
      <c r="G557" s="2" t="s">
        <v>10</v>
      </c>
      <c r="H557" s="2" t="s">
        <v>16</v>
      </c>
    </row>
    <row r="558" spans="1:8" x14ac:dyDescent="0.3">
      <c r="A558" s="2" t="str">
        <f>HYPERLINK("https://hsdes.intel.com/resource/16013697548","16013697548")</f>
        <v>16013697548</v>
      </c>
      <c r="B558" s="2" t="s">
        <v>1129</v>
      </c>
      <c r="C558" s="2" t="s">
        <v>352</v>
      </c>
      <c r="D558" s="6" t="s">
        <v>8</v>
      </c>
      <c r="E558" s="2"/>
      <c r="F558" s="2" t="s">
        <v>9</v>
      </c>
      <c r="G558" s="2" t="s">
        <v>10</v>
      </c>
      <c r="H558" s="2" t="s">
        <v>16</v>
      </c>
    </row>
    <row r="559" spans="1:8" x14ac:dyDescent="0.3">
      <c r="A559" s="2" t="str">
        <f>HYPERLINK("https://hsdes.intel.com/resource/16013713658","16013713658")</f>
        <v>16013713658</v>
      </c>
      <c r="B559" s="2" t="s">
        <v>1130</v>
      </c>
      <c r="C559" s="2"/>
      <c r="D559" s="6" t="s">
        <v>8</v>
      </c>
      <c r="E559" s="2"/>
      <c r="F559" s="2" t="s">
        <v>638</v>
      </c>
      <c r="G559" s="2" t="s">
        <v>98</v>
      </c>
      <c r="H559" s="2" t="s">
        <v>16</v>
      </c>
    </row>
    <row r="560" spans="1:8" x14ac:dyDescent="0.3">
      <c r="A560" s="2" t="str">
        <f>HYPERLINK("https://hsdes.intel.com/resource/16013715183","16013715183")</f>
        <v>16013715183</v>
      </c>
      <c r="B560" s="2" t="s">
        <v>1131</v>
      </c>
      <c r="C560" s="2"/>
      <c r="D560" s="6" t="s">
        <v>8</v>
      </c>
      <c r="E560" s="2"/>
      <c r="F560" s="2" t="s">
        <v>638</v>
      </c>
      <c r="G560" s="2" t="s">
        <v>98</v>
      </c>
      <c r="H560" s="2" t="s">
        <v>16</v>
      </c>
    </row>
    <row r="561" spans="1:8" x14ac:dyDescent="0.3">
      <c r="A561" s="2" t="str">
        <f>HYPERLINK("https://hsdes.intel.com/resource/16013715407","16013715407")</f>
        <v>16013715407</v>
      </c>
      <c r="B561" s="2" t="s">
        <v>1132</v>
      </c>
      <c r="C561" s="2"/>
      <c r="D561" s="6" t="s">
        <v>8</v>
      </c>
      <c r="E561" s="2"/>
      <c r="F561" s="2" t="s">
        <v>638</v>
      </c>
      <c r="G561" s="2" t="s">
        <v>98</v>
      </c>
      <c r="H561" s="2" t="s">
        <v>16</v>
      </c>
    </row>
    <row r="562" spans="1:8" x14ac:dyDescent="0.3">
      <c r="A562" s="4" t="str">
        <f>HYPERLINK("https://hsdes.intel.com/resource/16013815316","16013815316")</f>
        <v>16013815316</v>
      </c>
      <c r="B562" s="2" t="s">
        <v>1133</v>
      </c>
      <c r="C562" s="2"/>
      <c r="D562" s="6" t="s">
        <v>8</v>
      </c>
      <c r="E562" s="2"/>
      <c r="F562" s="2" t="s">
        <v>530</v>
      </c>
      <c r="G562" s="2" t="s">
        <v>531</v>
      </c>
      <c r="H562" s="2" t="s">
        <v>16</v>
      </c>
    </row>
    <row r="563" spans="1:8" x14ac:dyDescent="0.3">
      <c r="A563" s="2" t="str">
        <f>HYPERLINK("https://hsdes.intel.com/resource/16013832714","16013832714")</f>
        <v>16013832714</v>
      </c>
      <c r="B563" s="2" t="s">
        <v>1135</v>
      </c>
      <c r="C563" s="2" t="s">
        <v>1134</v>
      </c>
      <c r="D563" s="7" t="s">
        <v>88</v>
      </c>
      <c r="E563" s="2" t="s">
        <v>1247</v>
      </c>
      <c r="F563" s="2" t="s">
        <v>9</v>
      </c>
      <c r="G563" s="2" t="s">
        <v>10</v>
      </c>
      <c r="H563" s="2" t="s">
        <v>11</v>
      </c>
    </row>
    <row r="564" spans="1:8" x14ac:dyDescent="0.3">
      <c r="A564" s="2" t="str">
        <f>HYPERLINK("https://hsdes.intel.com/resource/16013871156","16013871156")</f>
        <v>16013871156</v>
      </c>
      <c r="B564" s="2" t="s">
        <v>1136</v>
      </c>
      <c r="C564" s="2"/>
      <c r="D564" s="6" t="s">
        <v>8</v>
      </c>
      <c r="E564" s="2"/>
      <c r="F564" s="2" t="s">
        <v>530</v>
      </c>
      <c r="G564" s="2" t="s">
        <v>531</v>
      </c>
      <c r="H564" s="2" t="s">
        <v>11</v>
      </c>
    </row>
    <row r="565" spans="1:8" x14ac:dyDescent="0.3">
      <c r="A565" s="2" t="str">
        <f>HYPERLINK("https://hsdes.intel.com/resource/16013998932","16013998932")</f>
        <v>16013998932</v>
      </c>
      <c r="B565" s="2" t="s">
        <v>1137</v>
      </c>
      <c r="C565" s="2" t="s">
        <v>409</v>
      </c>
      <c r="D565" s="6" t="s">
        <v>8</v>
      </c>
      <c r="E565" s="2"/>
      <c r="F565" s="2" t="s">
        <v>9</v>
      </c>
      <c r="G565" s="2" t="s">
        <v>10</v>
      </c>
      <c r="H565" s="2" t="s">
        <v>11</v>
      </c>
    </row>
    <row r="566" spans="1:8" x14ac:dyDescent="0.3">
      <c r="A566" s="2" t="str">
        <f>HYPERLINK("https://hsdes.intel.com/resource/16014251359","16014251359")</f>
        <v>16014251359</v>
      </c>
      <c r="B566" s="2" t="s">
        <v>1138</v>
      </c>
      <c r="C566" s="2"/>
      <c r="D566" s="6" t="s">
        <v>8</v>
      </c>
      <c r="E566" s="2"/>
      <c r="F566" s="2" t="s">
        <v>638</v>
      </c>
      <c r="G566" s="2" t="s">
        <v>98</v>
      </c>
      <c r="H566" s="2" t="s">
        <v>16</v>
      </c>
    </row>
    <row r="567" spans="1:8" x14ac:dyDescent="0.3">
      <c r="A567" s="2" t="str">
        <f>HYPERLINK("https://hsdes.intel.com/resource/16014251361","16014251361")</f>
        <v>16014251361</v>
      </c>
      <c r="B567" s="2" t="s">
        <v>1139</v>
      </c>
      <c r="C567" s="2"/>
      <c r="D567" s="6" t="s">
        <v>8</v>
      </c>
      <c r="E567" s="2"/>
      <c r="F567" s="2" t="s">
        <v>638</v>
      </c>
      <c r="G567" s="2" t="s">
        <v>98</v>
      </c>
      <c r="H567" s="2" t="s">
        <v>16</v>
      </c>
    </row>
    <row r="568" spans="1:8" x14ac:dyDescent="0.3">
      <c r="A568" s="2" t="str">
        <f>HYPERLINK("https://hsdes.intel.com/resource/16014251368","16014251368")</f>
        <v>16014251368</v>
      </c>
      <c r="B568" s="2" t="s">
        <v>1140</v>
      </c>
      <c r="C568" s="2"/>
      <c r="D568" s="6" t="s">
        <v>8</v>
      </c>
      <c r="E568" s="2"/>
      <c r="F568" s="2" t="s">
        <v>638</v>
      </c>
      <c r="G568" s="2" t="s">
        <v>98</v>
      </c>
      <c r="H568" s="2" t="s">
        <v>16</v>
      </c>
    </row>
    <row r="569" spans="1:8" x14ac:dyDescent="0.3">
      <c r="A569" s="2" t="str">
        <f>HYPERLINK("https://hsdes.intel.com/resource/16014360983","16014360983")</f>
        <v>16014360983</v>
      </c>
      <c r="B569" s="2" t="s">
        <v>1141</v>
      </c>
      <c r="C569" s="2"/>
      <c r="D569" s="6" t="s">
        <v>8</v>
      </c>
      <c r="E569" s="2"/>
      <c r="F569" s="2" t="s">
        <v>62</v>
      </c>
      <c r="G569" s="2" t="s">
        <v>63</v>
      </c>
      <c r="H569" s="2" t="s">
        <v>11</v>
      </c>
    </row>
    <row r="570" spans="1:8" x14ac:dyDescent="0.3">
      <c r="A570" s="2" t="str">
        <f>HYPERLINK("https://hsdes.intel.com/resource/16014566248","16014566248")</f>
        <v>16014566248</v>
      </c>
      <c r="B570" s="2" t="s">
        <v>1143</v>
      </c>
      <c r="C570" s="2" t="s">
        <v>1142</v>
      </c>
      <c r="D570" s="6" t="s">
        <v>8</v>
      </c>
      <c r="E570" s="2"/>
      <c r="F570" s="2" t="s">
        <v>37</v>
      </c>
      <c r="G570" s="2" t="s">
        <v>38</v>
      </c>
      <c r="H570" s="2" t="s">
        <v>16</v>
      </c>
    </row>
    <row r="571" spans="1:8" x14ac:dyDescent="0.3">
      <c r="A571" s="4" t="str">
        <f>HYPERLINK("https://hsdes.intel.com/resource/16014861115","16014861115")</f>
        <v>16014861115</v>
      </c>
      <c r="B571" s="2" t="s">
        <v>1144</v>
      </c>
      <c r="C571" s="2"/>
      <c r="D571" s="7" t="s">
        <v>88</v>
      </c>
      <c r="E571" s="2" t="s">
        <v>1145</v>
      </c>
      <c r="F571" s="2" t="s">
        <v>530</v>
      </c>
      <c r="G571" s="2" t="s">
        <v>531</v>
      </c>
      <c r="H571" s="2" t="s">
        <v>11</v>
      </c>
    </row>
    <row r="572" spans="1:8" x14ac:dyDescent="0.3">
      <c r="A572" s="2" t="str">
        <f>HYPERLINK("https://hsdes.intel.com/resource/16014868604","16014868604")</f>
        <v>16014868604</v>
      </c>
      <c r="B572" s="2" t="s">
        <v>1147</v>
      </c>
      <c r="C572" s="2" t="s">
        <v>1146</v>
      </c>
      <c r="D572" s="6" t="s">
        <v>8</v>
      </c>
      <c r="E572" s="2"/>
      <c r="F572" s="2" t="s">
        <v>158</v>
      </c>
      <c r="G572" s="2" t="s">
        <v>38</v>
      </c>
      <c r="H572" s="2" t="s">
        <v>16</v>
      </c>
    </row>
    <row r="573" spans="1:8" x14ac:dyDescent="0.3">
      <c r="A573" s="2" t="str">
        <f>HYPERLINK("https://hsdes.intel.com/resource/16014890786","16014890786")</f>
        <v>16014890786</v>
      </c>
      <c r="B573" s="2" t="s">
        <v>1148</v>
      </c>
      <c r="C573" s="2" t="s">
        <v>222</v>
      </c>
      <c r="D573" s="6" t="s">
        <v>8</v>
      </c>
      <c r="E573" s="2"/>
      <c r="F573" s="2" t="s">
        <v>208</v>
      </c>
      <c r="G573" s="2" t="s">
        <v>209</v>
      </c>
      <c r="H573" s="2" t="s">
        <v>11</v>
      </c>
    </row>
    <row r="574" spans="1:8" x14ac:dyDescent="0.3">
      <c r="A574" s="2" t="str">
        <f>HYPERLINK("https://hsdes.intel.com/resource/16014898568","16014898568")</f>
        <v>16014898568</v>
      </c>
      <c r="B574" s="2" t="s">
        <v>1149</v>
      </c>
      <c r="C574" s="2"/>
      <c r="D574" s="6" t="s">
        <v>8</v>
      </c>
      <c r="E574" s="2"/>
      <c r="F574" s="2" t="s">
        <v>558</v>
      </c>
      <c r="G574" s="2" t="s">
        <v>559</v>
      </c>
      <c r="H574" s="2" t="s">
        <v>11</v>
      </c>
    </row>
    <row r="575" spans="1:8" x14ac:dyDescent="0.3">
      <c r="A575" s="2" t="str">
        <f>HYPERLINK("https://hsdes.intel.com/resource/16014898588","16014898588")</f>
        <v>16014898588</v>
      </c>
      <c r="B575" s="2" t="s">
        <v>1150</v>
      </c>
      <c r="C575" s="2"/>
      <c r="D575" s="6" t="s">
        <v>8</v>
      </c>
      <c r="E575" s="2"/>
      <c r="F575" s="2" t="s">
        <v>558</v>
      </c>
      <c r="G575" s="2" t="s">
        <v>559</v>
      </c>
      <c r="H575" s="2" t="s">
        <v>11</v>
      </c>
    </row>
    <row r="576" spans="1:8" x14ac:dyDescent="0.3">
      <c r="A576" s="2" t="str">
        <f>HYPERLINK("https://hsdes.intel.com/resource/16014912837","16014912837")</f>
        <v>16014912837</v>
      </c>
      <c r="B576" s="2" t="s">
        <v>1152</v>
      </c>
      <c r="C576" s="2" t="s">
        <v>1151</v>
      </c>
      <c r="D576" s="6" t="s">
        <v>8</v>
      </c>
      <c r="E576" s="2"/>
      <c r="F576" s="2" t="s">
        <v>208</v>
      </c>
      <c r="G576" s="2" t="s">
        <v>209</v>
      </c>
      <c r="H576" s="2" t="s">
        <v>16</v>
      </c>
    </row>
    <row r="577" spans="1:8" x14ac:dyDescent="0.3">
      <c r="A577" s="2" t="str">
        <f>HYPERLINK("https://hsdes.intel.com/resource/16014917868","16014917868")</f>
        <v>16014917868</v>
      </c>
      <c r="B577" s="2" t="s">
        <v>1153</v>
      </c>
      <c r="C577" s="2"/>
      <c r="D577" s="6" t="s">
        <v>8</v>
      </c>
      <c r="E577" s="2"/>
      <c r="F577" s="2" t="s">
        <v>558</v>
      </c>
      <c r="G577" s="2" t="s">
        <v>559</v>
      </c>
      <c r="H577" s="2" t="s">
        <v>16</v>
      </c>
    </row>
    <row r="578" spans="1:8" x14ac:dyDescent="0.3">
      <c r="A578" s="2" t="str">
        <f>HYPERLINK("https://hsdes.intel.com/resource/16014917890","16014917890")</f>
        <v>16014917890</v>
      </c>
      <c r="B578" s="2" t="s">
        <v>1154</v>
      </c>
      <c r="C578" s="2"/>
      <c r="D578" s="6" t="s">
        <v>8</v>
      </c>
      <c r="E578" s="2"/>
      <c r="F578" s="2" t="s">
        <v>530</v>
      </c>
      <c r="G578" s="2" t="s">
        <v>531</v>
      </c>
      <c r="H578" s="2" t="s">
        <v>11</v>
      </c>
    </row>
    <row r="579" spans="1:8" x14ac:dyDescent="0.3">
      <c r="A579" s="2" t="str">
        <f>HYPERLINK("https://hsdes.intel.com/resource/16014934572","16014934572")</f>
        <v>16014934572</v>
      </c>
      <c r="B579" s="2" t="s">
        <v>1155</v>
      </c>
      <c r="C579" s="2" t="s">
        <v>714</v>
      </c>
      <c r="D579" s="6" t="s">
        <v>8</v>
      </c>
      <c r="E579" s="2"/>
      <c r="F579" s="2" t="s">
        <v>208</v>
      </c>
      <c r="G579" s="2" t="s">
        <v>209</v>
      </c>
      <c r="H579" s="2" t="s">
        <v>16</v>
      </c>
    </row>
    <row r="580" spans="1:8" x14ac:dyDescent="0.3">
      <c r="A580" s="2" t="str">
        <f>HYPERLINK("https://hsdes.intel.com/resource/16014964493","16014964493")</f>
        <v>16014964493</v>
      </c>
      <c r="B580" s="2" t="s">
        <v>1156</v>
      </c>
      <c r="C580" s="2"/>
      <c r="D580" s="6" t="s">
        <v>8</v>
      </c>
      <c r="E580" s="2"/>
      <c r="F580" s="2" t="s">
        <v>558</v>
      </c>
      <c r="G580" s="2" t="s">
        <v>559</v>
      </c>
      <c r="H580" s="2" t="s">
        <v>11</v>
      </c>
    </row>
    <row r="581" spans="1:8" x14ac:dyDescent="0.3">
      <c r="A581" s="4" t="str">
        <f>HYPERLINK("https://hsdes.intel.com/resource/16014988262","16014988262")</f>
        <v>16014988262</v>
      </c>
      <c r="B581" s="2" t="s">
        <v>1157</v>
      </c>
      <c r="C581" s="2" t="s">
        <v>734</v>
      </c>
      <c r="D581" s="6" t="s">
        <v>8</v>
      </c>
      <c r="E581" s="2"/>
      <c r="F581" s="2" t="s">
        <v>208</v>
      </c>
      <c r="G581" s="2" t="s">
        <v>209</v>
      </c>
      <c r="H581" s="2" t="s">
        <v>16</v>
      </c>
    </row>
    <row r="582" spans="1:8" x14ac:dyDescent="0.3">
      <c r="A582" s="2" t="str">
        <f>HYPERLINK("https://hsdes.intel.com/resource/16014988649","16014988649")</f>
        <v>16014988649</v>
      </c>
      <c r="B582" s="2" t="s">
        <v>1158</v>
      </c>
      <c r="C582" s="2" t="s">
        <v>293</v>
      </c>
      <c r="D582" s="6" t="s">
        <v>8</v>
      </c>
      <c r="E582" s="2"/>
      <c r="F582" s="2" t="s">
        <v>37</v>
      </c>
      <c r="G582" s="2" t="s">
        <v>98</v>
      </c>
      <c r="H582" s="2" t="s">
        <v>16</v>
      </c>
    </row>
    <row r="583" spans="1:8" x14ac:dyDescent="0.3">
      <c r="A583" s="2" t="str">
        <f>HYPERLINK("https://hsdes.intel.com/resource/16015007753","16015007753")</f>
        <v>16015007753</v>
      </c>
      <c r="B583" s="2" t="s">
        <v>1159</v>
      </c>
      <c r="C583" s="2" t="s">
        <v>1095</v>
      </c>
      <c r="D583" s="6" t="s">
        <v>8</v>
      </c>
      <c r="E583" s="2"/>
      <c r="F583" s="2" t="s">
        <v>1097</v>
      </c>
      <c r="G583" s="2" t="s">
        <v>63</v>
      </c>
      <c r="H583" s="2" t="s">
        <v>16</v>
      </c>
    </row>
    <row r="584" spans="1:8" x14ac:dyDescent="0.3">
      <c r="A584" s="2" t="str">
        <f>HYPERLINK("https://hsdes.intel.com/resource/16015025624","16015025624")</f>
        <v>16015025624</v>
      </c>
      <c r="B584" s="2" t="s">
        <v>1160</v>
      </c>
      <c r="C584" s="2"/>
      <c r="D584" s="6" t="s">
        <v>8</v>
      </c>
      <c r="E584" s="2"/>
      <c r="F584" s="2" t="s">
        <v>62</v>
      </c>
      <c r="G584" s="2" t="s">
        <v>63</v>
      </c>
      <c r="H584" s="2" t="s">
        <v>16</v>
      </c>
    </row>
    <row r="585" spans="1:8" x14ac:dyDescent="0.3">
      <c r="A585" s="2" t="str">
        <f>HYPERLINK("https://hsdes.intel.com/resource/16015036242","16015036242")</f>
        <v>16015036242</v>
      </c>
      <c r="B585" s="2" t="s">
        <v>1161</v>
      </c>
      <c r="C585" s="2"/>
      <c r="D585" s="6" t="s">
        <v>8</v>
      </c>
      <c r="E585" s="2"/>
      <c r="F585" s="2" t="s">
        <v>62</v>
      </c>
      <c r="G585" s="2" t="s">
        <v>63</v>
      </c>
      <c r="H585" s="2" t="s">
        <v>16</v>
      </c>
    </row>
    <row r="586" spans="1:8" x14ac:dyDescent="0.3">
      <c r="A586" s="2" t="str">
        <f>HYPERLINK("https://hsdes.intel.com/resource/16015052880","16015052880")</f>
        <v>16015052880</v>
      </c>
      <c r="B586" s="2" t="s">
        <v>1162</v>
      </c>
      <c r="C586" s="2"/>
      <c r="D586" s="6" t="s">
        <v>8</v>
      </c>
      <c r="E586" s="2"/>
      <c r="F586" s="2" t="s">
        <v>62</v>
      </c>
      <c r="G586" s="2" t="s">
        <v>63</v>
      </c>
      <c r="H586" s="2" t="s">
        <v>11</v>
      </c>
    </row>
    <row r="587" spans="1:8" x14ac:dyDescent="0.3">
      <c r="A587" s="2" t="str">
        <f>HYPERLINK("https://hsdes.intel.com/resource/16016686403","16016686403")</f>
        <v>16016686403</v>
      </c>
      <c r="B587" s="2" t="s">
        <v>1163</v>
      </c>
      <c r="C587" s="2"/>
      <c r="D587" s="6" t="s">
        <v>8</v>
      </c>
      <c r="E587" s="2"/>
      <c r="F587" s="2" t="s">
        <v>530</v>
      </c>
      <c r="G587" s="2" t="s">
        <v>531</v>
      </c>
      <c r="H587" s="2" t="s">
        <v>16</v>
      </c>
    </row>
    <row r="588" spans="1:8" x14ac:dyDescent="0.3">
      <c r="A588" s="2" t="str">
        <f>HYPERLINK("https://hsdes.intel.com/resource/22011834274","22011834274")</f>
        <v>22011834274</v>
      </c>
      <c r="B588" s="2" t="s">
        <v>1165</v>
      </c>
      <c r="C588" s="2" t="s">
        <v>1164</v>
      </c>
      <c r="D588" s="6" t="s">
        <v>8</v>
      </c>
      <c r="E588" s="2"/>
      <c r="F588" s="2" t="s">
        <v>9</v>
      </c>
      <c r="G588" s="2" t="s">
        <v>10</v>
      </c>
      <c r="H588" s="2" t="s">
        <v>41</v>
      </c>
    </row>
    <row r="589" spans="1:8" x14ac:dyDescent="0.3">
      <c r="A589" s="2" t="str">
        <f>HYPERLINK("https://hsdes.intel.com/resource/22011834282","22011834282")</f>
        <v>22011834282</v>
      </c>
      <c r="B589" s="2" t="s">
        <v>1167</v>
      </c>
      <c r="C589" s="2" t="s">
        <v>1166</v>
      </c>
      <c r="D589" s="6" t="s">
        <v>8</v>
      </c>
      <c r="E589" s="2"/>
      <c r="F589" s="2" t="s">
        <v>62</v>
      </c>
      <c r="G589" s="2" t="s">
        <v>63</v>
      </c>
      <c r="H589" s="2" t="s">
        <v>16</v>
      </c>
    </row>
    <row r="590" spans="1:8" x14ac:dyDescent="0.3">
      <c r="A590" s="2" t="str">
        <f>HYPERLINK("https://hsdes.intel.com/resource/22011834336","22011834336")</f>
        <v>22011834336</v>
      </c>
      <c r="B590" s="2" t="s">
        <v>1169</v>
      </c>
      <c r="C590" s="2" t="s">
        <v>1168</v>
      </c>
      <c r="D590" s="6" t="s">
        <v>8</v>
      </c>
      <c r="E590" s="2"/>
      <c r="F590" s="2" t="s">
        <v>158</v>
      </c>
      <c r="G590" s="2" t="s">
        <v>38</v>
      </c>
      <c r="H590" s="2" t="s">
        <v>16</v>
      </c>
    </row>
    <row r="591" spans="1:8" x14ac:dyDescent="0.3">
      <c r="A591" s="2" t="str">
        <f>HYPERLINK("https://hsdes.intel.com/resource/22011834416","22011834416")</f>
        <v>22011834416</v>
      </c>
      <c r="B591" s="2" t="s">
        <v>1171</v>
      </c>
      <c r="C591" s="2" t="s">
        <v>1170</v>
      </c>
      <c r="D591" s="6" t="s">
        <v>8</v>
      </c>
      <c r="E591" s="2"/>
      <c r="F591" s="2" t="s">
        <v>9</v>
      </c>
      <c r="G591" s="2" t="s">
        <v>10</v>
      </c>
      <c r="H591" s="2" t="s">
        <v>11</v>
      </c>
    </row>
    <row r="592" spans="1:8" x14ac:dyDescent="0.3">
      <c r="A592" s="2" t="str">
        <f>HYPERLINK("https://hsdes.intel.com/resource/22011834534","22011834534")</f>
        <v>22011834534</v>
      </c>
      <c r="B592" s="2" t="s">
        <v>1173</v>
      </c>
      <c r="C592" s="2" t="s">
        <v>1172</v>
      </c>
      <c r="D592" s="6" t="s">
        <v>8</v>
      </c>
      <c r="E592" s="2"/>
      <c r="F592" s="2" t="s">
        <v>62</v>
      </c>
      <c r="G592" s="2" t="s">
        <v>63</v>
      </c>
      <c r="H592" s="2" t="s">
        <v>16</v>
      </c>
    </row>
    <row r="593" spans="1:8" x14ac:dyDescent="0.3">
      <c r="A593" s="2" t="str">
        <f>HYPERLINK("https://hsdes.intel.com/resource/22011834567","22011834567")</f>
        <v>22011834567</v>
      </c>
      <c r="B593" s="2" t="s">
        <v>1175</v>
      </c>
      <c r="C593" s="2" t="s">
        <v>1174</v>
      </c>
      <c r="D593" s="6" t="s">
        <v>8</v>
      </c>
      <c r="E593" s="2"/>
      <c r="F593" s="2" t="s">
        <v>9</v>
      </c>
      <c r="G593" s="2" t="s">
        <v>10</v>
      </c>
      <c r="H593" s="2" t="s">
        <v>41</v>
      </c>
    </row>
    <row r="594" spans="1:8" x14ac:dyDescent="0.3">
      <c r="A594" s="2" t="str">
        <f>HYPERLINK("https://hsdes.intel.com/resource/22011834621","22011834621")</f>
        <v>22011834621</v>
      </c>
      <c r="B594" s="2" t="s">
        <v>1177</v>
      </c>
      <c r="C594" s="2" t="s">
        <v>1176</v>
      </c>
      <c r="D594" s="6" t="s">
        <v>8</v>
      </c>
      <c r="E594" s="2"/>
      <c r="F594" s="2" t="s">
        <v>21</v>
      </c>
      <c r="G594" s="2" t="s">
        <v>22</v>
      </c>
      <c r="H594" s="2" t="s">
        <v>16</v>
      </c>
    </row>
    <row r="595" spans="1:8" x14ac:dyDescent="0.3">
      <c r="A595" s="2" t="str">
        <f>HYPERLINK("https://hsdes.intel.com/resource/22011834676","22011834676")</f>
        <v>22011834676</v>
      </c>
      <c r="B595" s="2" t="s">
        <v>1179</v>
      </c>
      <c r="C595" s="2" t="s">
        <v>1178</v>
      </c>
      <c r="D595" s="6" t="s">
        <v>8</v>
      </c>
      <c r="E595" s="2"/>
      <c r="F595" s="2" t="s">
        <v>21</v>
      </c>
      <c r="G595" s="2" t="s">
        <v>22</v>
      </c>
      <c r="H595" s="2" t="s">
        <v>16</v>
      </c>
    </row>
    <row r="596" spans="1:8" x14ac:dyDescent="0.3">
      <c r="A596" s="2" t="str">
        <f>HYPERLINK("https://hsdes.intel.com/resource/1509596724","1509596724")</f>
        <v>1509596724</v>
      </c>
      <c r="B596" s="2" t="s">
        <v>1181</v>
      </c>
      <c r="C596" s="2" t="s">
        <v>1180</v>
      </c>
      <c r="D596" s="6" t="s">
        <v>8</v>
      </c>
      <c r="E596" s="2"/>
      <c r="F596" s="2" t="s">
        <v>33</v>
      </c>
      <c r="G596" s="2" t="s">
        <v>34</v>
      </c>
      <c r="H596" s="2" t="s">
        <v>11</v>
      </c>
    </row>
    <row r="597" spans="1:8" x14ac:dyDescent="0.3">
      <c r="A597" s="2" t="str">
        <f>HYPERLINK("https://hsdes.intel.com/resource/14013156950","14013156950")</f>
        <v>14013156950</v>
      </c>
      <c r="B597" s="2" t="s">
        <v>1183</v>
      </c>
      <c r="C597" s="2" t="s">
        <v>1182</v>
      </c>
      <c r="D597" s="6" t="s">
        <v>8</v>
      </c>
      <c r="E597" s="2"/>
      <c r="F597" s="2" t="s">
        <v>21</v>
      </c>
      <c r="G597" s="2" t="s">
        <v>22</v>
      </c>
      <c r="H597" s="2" t="s">
        <v>16</v>
      </c>
    </row>
    <row r="598" spans="1:8" x14ac:dyDescent="0.3">
      <c r="A598" s="2" t="str">
        <f>HYPERLINK("https://hsdes.intel.com/resource/14013158428","14013158428")</f>
        <v>14013158428</v>
      </c>
      <c r="B598" s="2" t="s">
        <v>1185</v>
      </c>
      <c r="C598" s="2" t="s">
        <v>1184</v>
      </c>
      <c r="D598" s="6" t="s">
        <v>8</v>
      </c>
      <c r="E598" s="2"/>
      <c r="F598" s="2" t="s">
        <v>135</v>
      </c>
      <c r="G598" s="2" t="s">
        <v>136</v>
      </c>
      <c r="H598" s="2" t="s">
        <v>16</v>
      </c>
    </row>
    <row r="599" spans="1:8" x14ac:dyDescent="0.3">
      <c r="A599" s="2" t="str">
        <f>HYPERLINK("https://hsdes.intel.com/resource/14013159040","14013159040")</f>
        <v>14013159040</v>
      </c>
      <c r="B599" s="2" t="s">
        <v>1187</v>
      </c>
      <c r="C599" s="2" t="s">
        <v>1186</v>
      </c>
      <c r="D599" s="6" t="s">
        <v>8</v>
      </c>
      <c r="E599" s="2"/>
      <c r="F599" s="2" t="s">
        <v>135</v>
      </c>
      <c r="G599" s="2" t="s">
        <v>136</v>
      </c>
      <c r="H599" s="2" t="s">
        <v>16</v>
      </c>
    </row>
    <row r="600" spans="1:8" x14ac:dyDescent="0.3">
      <c r="A600" s="2" t="str">
        <f>HYPERLINK("https://hsdes.intel.com/resource/14013160094","14013160094")</f>
        <v>14013160094</v>
      </c>
      <c r="B600" s="2" t="s">
        <v>1189</v>
      </c>
      <c r="C600" s="2" t="s">
        <v>1188</v>
      </c>
      <c r="D600" s="6" t="s">
        <v>8</v>
      </c>
      <c r="E600" s="2"/>
      <c r="F600" s="2" t="s">
        <v>135</v>
      </c>
      <c r="G600" s="2" t="s">
        <v>136</v>
      </c>
      <c r="H600" s="2" t="s">
        <v>16</v>
      </c>
    </row>
    <row r="601" spans="1:8" x14ac:dyDescent="0.3">
      <c r="A601" s="2" t="str">
        <f>HYPERLINK("https://hsdes.intel.com/resource/14013161528","14013161528")</f>
        <v>14013161528</v>
      </c>
      <c r="B601" s="2" t="s">
        <v>1191</v>
      </c>
      <c r="C601" s="2" t="s">
        <v>1190</v>
      </c>
      <c r="D601" s="6" t="s">
        <v>8</v>
      </c>
      <c r="E601" s="2"/>
      <c r="F601" s="2" t="s">
        <v>135</v>
      </c>
      <c r="G601" s="2" t="s">
        <v>136</v>
      </c>
      <c r="H601" s="2" t="s">
        <v>16</v>
      </c>
    </row>
    <row r="602" spans="1:8" x14ac:dyDescent="0.3">
      <c r="A602" s="2" t="str">
        <f>HYPERLINK("https://hsdes.intel.com/resource/14013162515","14013162515")</f>
        <v>14013162515</v>
      </c>
      <c r="B602" s="2" t="s">
        <v>1193</v>
      </c>
      <c r="C602" s="2" t="s">
        <v>1192</v>
      </c>
      <c r="D602" s="6" t="s">
        <v>8</v>
      </c>
      <c r="E602" s="2"/>
      <c r="F602" s="2" t="s">
        <v>158</v>
      </c>
      <c r="G602" s="2" t="s">
        <v>38</v>
      </c>
      <c r="H602" s="2" t="s">
        <v>16</v>
      </c>
    </row>
    <row r="603" spans="1:8" x14ac:dyDescent="0.3">
      <c r="A603" s="2" t="str">
        <f>HYPERLINK("https://hsdes.intel.com/resource/14013165425","14013165425")</f>
        <v>14013165425</v>
      </c>
      <c r="B603" s="2" t="s">
        <v>1195</v>
      </c>
      <c r="C603" s="2" t="s">
        <v>1194</v>
      </c>
      <c r="D603" s="6" t="s">
        <v>8</v>
      </c>
      <c r="E603" s="2"/>
      <c r="F603" s="2" t="s">
        <v>62</v>
      </c>
      <c r="G603" s="2" t="s">
        <v>63</v>
      </c>
      <c r="H603" s="2" t="s">
        <v>16</v>
      </c>
    </row>
    <row r="604" spans="1:8" x14ac:dyDescent="0.3">
      <c r="A604" s="2" t="str">
        <f>HYPERLINK("https://hsdes.intel.com/resource/14013173197","14013173197")</f>
        <v>14013173197</v>
      </c>
      <c r="B604" s="2" t="s">
        <v>1197</v>
      </c>
      <c r="C604" s="2" t="s">
        <v>1196</v>
      </c>
      <c r="D604" s="6" t="s">
        <v>8</v>
      </c>
      <c r="E604" s="2"/>
      <c r="F604" s="2" t="s">
        <v>21</v>
      </c>
      <c r="G604" s="2" t="s">
        <v>22</v>
      </c>
      <c r="H604" s="2" t="s">
        <v>16</v>
      </c>
    </row>
    <row r="605" spans="1:8" x14ac:dyDescent="0.3">
      <c r="A605" s="2" t="str">
        <f>HYPERLINK("https://hsdes.intel.com/resource/14013174597","14013174597")</f>
        <v>14013174597</v>
      </c>
      <c r="B605" s="2" t="s">
        <v>1199</v>
      </c>
      <c r="C605" s="2" t="s">
        <v>1198</v>
      </c>
      <c r="D605" s="6" t="s">
        <v>8</v>
      </c>
      <c r="E605" s="2"/>
      <c r="F605" s="2" t="s">
        <v>33</v>
      </c>
      <c r="G605" s="2" t="s">
        <v>155</v>
      </c>
      <c r="H605" s="2" t="s">
        <v>16</v>
      </c>
    </row>
    <row r="606" spans="1:8" x14ac:dyDescent="0.3">
      <c r="A606" s="2" t="str">
        <f>HYPERLINK("https://hsdes.intel.com/resource/14013174602","14013174602")</f>
        <v>14013174602</v>
      </c>
      <c r="B606" s="2" t="s">
        <v>1201</v>
      </c>
      <c r="C606" s="2" t="s">
        <v>1200</v>
      </c>
      <c r="D606" s="6" t="s">
        <v>8</v>
      </c>
      <c r="E606" s="2"/>
      <c r="F606" s="2" t="s">
        <v>33</v>
      </c>
      <c r="G606" s="2" t="s">
        <v>155</v>
      </c>
      <c r="H606" s="2" t="s">
        <v>16</v>
      </c>
    </row>
    <row r="607" spans="1:8" x14ac:dyDescent="0.3">
      <c r="A607" s="2" t="str">
        <f>HYPERLINK("https://hsdes.intel.com/resource/14013174902","14013174902")</f>
        <v>14013174902</v>
      </c>
      <c r="B607" s="2" t="s">
        <v>1203</v>
      </c>
      <c r="C607" s="2" t="s">
        <v>1202</v>
      </c>
      <c r="D607" s="6" t="s">
        <v>8</v>
      </c>
      <c r="E607" s="2"/>
      <c r="F607" s="2" t="s">
        <v>33</v>
      </c>
      <c r="G607" s="2" t="s">
        <v>34</v>
      </c>
      <c r="H607" s="2" t="s">
        <v>11</v>
      </c>
    </row>
    <row r="608" spans="1:8" x14ac:dyDescent="0.3">
      <c r="A608" s="2" t="str">
        <f>HYPERLINK("https://hsdes.intel.com/resource/14013174915","14013174915")</f>
        <v>14013174915</v>
      </c>
      <c r="B608" s="2" t="s">
        <v>1205</v>
      </c>
      <c r="C608" s="2" t="s">
        <v>1204</v>
      </c>
      <c r="D608" s="6" t="s">
        <v>8</v>
      </c>
      <c r="E608" s="2"/>
      <c r="F608" s="2" t="s">
        <v>33</v>
      </c>
      <c r="G608" s="2" t="s">
        <v>34</v>
      </c>
      <c r="H608" s="2" t="s">
        <v>11</v>
      </c>
    </row>
    <row r="609" spans="1:8" x14ac:dyDescent="0.3">
      <c r="A609" s="2" t="str">
        <f>HYPERLINK("https://hsdes.intel.com/resource/14013174933","14013174933")</f>
        <v>14013174933</v>
      </c>
      <c r="B609" s="2" t="s">
        <v>1207</v>
      </c>
      <c r="C609" s="2" t="s">
        <v>1206</v>
      </c>
      <c r="D609" s="6" t="s">
        <v>8</v>
      </c>
      <c r="E609" s="2"/>
      <c r="F609" s="2" t="s">
        <v>33</v>
      </c>
      <c r="G609" s="2" t="s">
        <v>34</v>
      </c>
      <c r="H609" s="2" t="s">
        <v>11</v>
      </c>
    </row>
    <row r="610" spans="1:8" x14ac:dyDescent="0.3">
      <c r="A610" s="2" t="str">
        <f>HYPERLINK("https://hsdes.intel.com/resource/14013174969","14013174969")</f>
        <v>14013174969</v>
      </c>
      <c r="B610" s="2" t="s">
        <v>1209</v>
      </c>
      <c r="C610" s="2" t="s">
        <v>1208</v>
      </c>
      <c r="D610" s="6" t="s">
        <v>8</v>
      </c>
      <c r="E610" s="2"/>
      <c r="F610" s="2" t="s">
        <v>33</v>
      </c>
      <c r="G610" s="2" t="s">
        <v>34</v>
      </c>
      <c r="H610" s="2" t="s">
        <v>16</v>
      </c>
    </row>
    <row r="611" spans="1:8" x14ac:dyDescent="0.3">
      <c r="A611" s="2" t="str">
        <f>HYPERLINK("https://hsdes.intel.com/resource/14013174975","14013174975")</f>
        <v>14013174975</v>
      </c>
      <c r="B611" s="2" t="s">
        <v>1210</v>
      </c>
      <c r="C611" s="2" t="s">
        <v>1180</v>
      </c>
      <c r="D611" s="6" t="s">
        <v>8</v>
      </c>
      <c r="E611" s="2"/>
      <c r="F611" s="2" t="s">
        <v>33</v>
      </c>
      <c r="G611" s="2" t="s">
        <v>34</v>
      </c>
      <c r="H611" s="2" t="s">
        <v>11</v>
      </c>
    </row>
    <row r="612" spans="1:8" x14ac:dyDescent="0.3">
      <c r="A612" s="2" t="str">
        <f>HYPERLINK("https://hsdes.intel.com/resource/14013174978","14013174978")</f>
        <v>14013174978</v>
      </c>
      <c r="B612" s="2" t="s">
        <v>1212</v>
      </c>
      <c r="C612" s="2" t="s">
        <v>1211</v>
      </c>
      <c r="D612" s="6" t="s">
        <v>8</v>
      </c>
      <c r="E612" s="2"/>
      <c r="F612" s="2" t="s">
        <v>33</v>
      </c>
      <c r="G612" s="2" t="s">
        <v>34</v>
      </c>
      <c r="H612" s="2" t="s">
        <v>11</v>
      </c>
    </row>
    <row r="613" spans="1:8" x14ac:dyDescent="0.3">
      <c r="A613" s="2" t="str">
        <f>HYPERLINK("https://hsdes.intel.com/resource/14013174983","14013174983")</f>
        <v>14013174983</v>
      </c>
      <c r="B613" s="2" t="s">
        <v>1214</v>
      </c>
      <c r="C613" s="2" t="s">
        <v>1213</v>
      </c>
      <c r="D613" s="6" t="s">
        <v>8</v>
      </c>
      <c r="E613" s="2"/>
      <c r="F613" s="2" t="s">
        <v>33</v>
      </c>
      <c r="G613" s="2" t="s">
        <v>34</v>
      </c>
      <c r="H613" s="2" t="s">
        <v>11</v>
      </c>
    </row>
    <row r="614" spans="1:8" x14ac:dyDescent="0.3">
      <c r="A614" s="2" t="str">
        <f>HYPERLINK("https://hsdes.intel.com/resource/14013177676","14013177676")</f>
        <v>14013177676</v>
      </c>
      <c r="B614" s="2" t="s">
        <v>1216</v>
      </c>
      <c r="C614" s="2" t="s">
        <v>1215</v>
      </c>
      <c r="D614" s="6" t="s">
        <v>8</v>
      </c>
      <c r="E614" s="2"/>
      <c r="F614" s="2" t="s">
        <v>33</v>
      </c>
      <c r="G614" s="2" t="s">
        <v>34</v>
      </c>
      <c r="H614" s="2" t="s">
        <v>11</v>
      </c>
    </row>
    <row r="615" spans="1:8" x14ac:dyDescent="0.3">
      <c r="A615" s="2" t="str">
        <f>HYPERLINK("https://hsdes.intel.com/resource/14013177886","14013177886")</f>
        <v>14013177886</v>
      </c>
      <c r="B615" s="2" t="s">
        <v>1218</v>
      </c>
      <c r="C615" s="2" t="s">
        <v>1217</v>
      </c>
      <c r="D615" s="6" t="s">
        <v>8</v>
      </c>
      <c r="E615" s="2"/>
      <c r="F615" s="2" t="s">
        <v>33</v>
      </c>
      <c r="G615" s="2" t="s">
        <v>155</v>
      </c>
      <c r="H615" s="2" t="s">
        <v>16</v>
      </c>
    </row>
    <row r="616" spans="1:8" x14ac:dyDescent="0.3">
      <c r="A616" s="2" t="str">
        <f>HYPERLINK("https://hsdes.intel.com/resource/14013178413","14013178413")</f>
        <v>14013178413</v>
      </c>
      <c r="B616" s="2" t="s">
        <v>1220</v>
      </c>
      <c r="C616" s="2" t="s">
        <v>1219</v>
      </c>
      <c r="D616" s="6" t="s">
        <v>8</v>
      </c>
      <c r="E616" s="2"/>
      <c r="F616" s="2" t="s">
        <v>558</v>
      </c>
      <c r="G616" s="2" t="s">
        <v>559</v>
      </c>
      <c r="H616" s="2" t="s">
        <v>16</v>
      </c>
    </row>
    <row r="617" spans="1:8" x14ac:dyDescent="0.3">
      <c r="A617" s="2" t="str">
        <f>HYPERLINK("https://hsdes.intel.com/resource/14013178930","14013178930")</f>
        <v>14013178930</v>
      </c>
      <c r="B617" s="2" t="s">
        <v>1222</v>
      </c>
      <c r="C617" s="2" t="s">
        <v>1221</v>
      </c>
      <c r="D617" s="6" t="s">
        <v>8</v>
      </c>
      <c r="E617" s="2"/>
      <c r="F617" s="2" t="s">
        <v>33</v>
      </c>
      <c r="G617" s="2" t="s">
        <v>155</v>
      </c>
      <c r="H617" s="2" t="s">
        <v>16</v>
      </c>
    </row>
    <row r="618" spans="1:8" x14ac:dyDescent="0.3">
      <c r="A618" s="2" t="str">
        <f>HYPERLINK("https://hsdes.intel.com/resource/14013179059","14013179059")</f>
        <v>14013179059</v>
      </c>
      <c r="B618" s="2" t="s">
        <v>1224</v>
      </c>
      <c r="C618" s="2" t="s">
        <v>1223</v>
      </c>
      <c r="D618" s="6" t="s">
        <v>8</v>
      </c>
      <c r="E618" s="2"/>
      <c r="F618" s="2" t="s">
        <v>135</v>
      </c>
      <c r="G618" s="2" t="s">
        <v>136</v>
      </c>
      <c r="H618" s="2" t="s">
        <v>41</v>
      </c>
    </row>
    <row r="619" spans="1:8" x14ac:dyDescent="0.3">
      <c r="A619" s="2" t="str">
        <f>HYPERLINK("https://hsdes.intel.com/resource/14013179074","14013179074")</f>
        <v>14013179074</v>
      </c>
      <c r="B619" s="2" t="s">
        <v>1226</v>
      </c>
      <c r="C619" s="2" t="s">
        <v>1225</v>
      </c>
      <c r="D619" s="6" t="s">
        <v>8</v>
      </c>
      <c r="E619" s="2"/>
      <c r="F619" s="2" t="s">
        <v>135</v>
      </c>
      <c r="G619" s="2" t="s">
        <v>136</v>
      </c>
      <c r="H619" s="2" t="s">
        <v>41</v>
      </c>
    </row>
    <row r="620" spans="1:8" x14ac:dyDescent="0.3">
      <c r="A620" s="2" t="str">
        <f>HYPERLINK("https://hsdes.intel.com/resource/14013179079","14013179079")</f>
        <v>14013179079</v>
      </c>
      <c r="B620" s="2" t="s">
        <v>1228</v>
      </c>
      <c r="C620" s="2" t="s">
        <v>1227</v>
      </c>
      <c r="D620" s="6" t="s">
        <v>8</v>
      </c>
      <c r="E620" s="2"/>
      <c r="F620" s="2" t="s">
        <v>135</v>
      </c>
      <c r="G620" s="2" t="s">
        <v>136</v>
      </c>
      <c r="H620" s="2" t="s">
        <v>11</v>
      </c>
    </row>
    <row r="621" spans="1:8" x14ac:dyDescent="0.3">
      <c r="A621" s="2" t="str">
        <f>HYPERLINK("https://hsdes.intel.com/resource/14013179098","14013179098")</f>
        <v>14013179098</v>
      </c>
      <c r="B621" s="2" t="s">
        <v>1230</v>
      </c>
      <c r="C621" s="2" t="s">
        <v>1229</v>
      </c>
      <c r="D621" s="6" t="s">
        <v>8</v>
      </c>
      <c r="E621" s="2"/>
      <c r="F621" s="2" t="s">
        <v>135</v>
      </c>
      <c r="G621" s="2" t="s">
        <v>136</v>
      </c>
      <c r="H621" s="2" t="s">
        <v>16</v>
      </c>
    </row>
    <row r="622" spans="1:8" x14ac:dyDescent="0.3">
      <c r="A622" s="2" t="str">
        <f>HYPERLINK("https://hsdes.intel.com/resource/14013182446","14013182446")</f>
        <v>14013182446</v>
      </c>
      <c r="B622" s="2" t="s">
        <v>1232</v>
      </c>
      <c r="C622" s="2" t="s">
        <v>1231</v>
      </c>
      <c r="D622" s="6" t="s">
        <v>8</v>
      </c>
      <c r="E622" s="2"/>
      <c r="F622" s="2" t="s">
        <v>21</v>
      </c>
      <c r="G622" s="2" t="s">
        <v>22</v>
      </c>
      <c r="H622" s="2" t="s">
        <v>16</v>
      </c>
    </row>
    <row r="623" spans="1:8" x14ac:dyDescent="0.3">
      <c r="A623" s="2" t="str">
        <f>HYPERLINK("https://hsdes.intel.com/resource/14013182957","14013182957")</f>
        <v>14013182957</v>
      </c>
      <c r="B623" s="2" t="s">
        <v>1234</v>
      </c>
      <c r="C623" s="2" t="s">
        <v>1233</v>
      </c>
      <c r="D623" s="6" t="s">
        <v>8</v>
      </c>
      <c r="E623" s="2"/>
      <c r="F623" s="2" t="s">
        <v>135</v>
      </c>
      <c r="G623" s="2" t="s">
        <v>136</v>
      </c>
      <c r="H623" s="2" t="s">
        <v>16</v>
      </c>
    </row>
    <row r="624" spans="1:8" x14ac:dyDescent="0.3">
      <c r="A624" s="2" t="str">
        <f>HYPERLINK("https://hsdes.intel.com/resource/14013183691","14013183691")</f>
        <v>14013183691</v>
      </c>
      <c r="B624" s="2" t="s">
        <v>1236</v>
      </c>
      <c r="C624" s="2" t="s">
        <v>1235</v>
      </c>
      <c r="D624" s="6" t="s">
        <v>8</v>
      </c>
      <c r="E624" s="2"/>
      <c r="F624" s="2" t="s">
        <v>135</v>
      </c>
      <c r="G624" s="2" t="s">
        <v>136</v>
      </c>
      <c r="H624" s="2" t="s">
        <v>16</v>
      </c>
    </row>
    <row r="625" spans="1:8" x14ac:dyDescent="0.3">
      <c r="A625" s="2" t="str">
        <f>HYPERLINK("https://hsdes.intel.com/resource/15010014461","15010014461")</f>
        <v>15010014461</v>
      </c>
      <c r="B625" s="2" t="s">
        <v>1237</v>
      </c>
      <c r="C625" s="2"/>
      <c r="D625" s="6" t="s">
        <v>8</v>
      </c>
      <c r="E625" s="2"/>
      <c r="F625" s="2" t="s">
        <v>530</v>
      </c>
      <c r="G625" s="2" t="s">
        <v>531</v>
      </c>
      <c r="H625" s="2" t="s">
        <v>16</v>
      </c>
    </row>
    <row r="626" spans="1:8" x14ac:dyDescent="0.3">
      <c r="A626" s="2" t="str">
        <f>HYPERLINK("https://hsdes.intel.com/resource/16013113523","16013113523")</f>
        <v>16013113523</v>
      </c>
      <c r="B626" s="2" t="s">
        <v>1238</v>
      </c>
      <c r="C626" s="2" t="s">
        <v>58</v>
      </c>
      <c r="D626" s="6" t="s">
        <v>8</v>
      </c>
      <c r="E626" s="2"/>
      <c r="F626" s="2" t="s">
        <v>25</v>
      </c>
      <c r="G626" s="2" t="s">
        <v>26</v>
      </c>
      <c r="H626" s="2" t="s">
        <v>11</v>
      </c>
    </row>
    <row r="627" spans="1:8" x14ac:dyDescent="0.3">
      <c r="A627" s="2" t="str">
        <f>HYPERLINK("https://hsdes.intel.com/resource/16013113542","16013113542")</f>
        <v>16013113542</v>
      </c>
      <c r="B627" s="2" t="s">
        <v>1239</v>
      </c>
      <c r="C627" s="2" t="s">
        <v>58</v>
      </c>
      <c r="D627" s="6" t="s">
        <v>8</v>
      </c>
      <c r="E627" s="2"/>
      <c r="F627" s="2" t="s">
        <v>25</v>
      </c>
      <c r="G627" s="2" t="s">
        <v>26</v>
      </c>
      <c r="H627" s="2" t="s">
        <v>11</v>
      </c>
    </row>
    <row r="628" spans="1:8" x14ac:dyDescent="0.3">
      <c r="A628" s="2" t="str">
        <f>HYPERLINK("https://hsdes.intel.com/resource/16013114500","16013114500")</f>
        <v>16013114500</v>
      </c>
      <c r="B628" s="2" t="s">
        <v>1240</v>
      </c>
      <c r="C628" s="2" t="s">
        <v>58</v>
      </c>
      <c r="D628" s="6" t="s">
        <v>8</v>
      </c>
      <c r="E628" s="2"/>
      <c r="F628" s="2" t="s">
        <v>25</v>
      </c>
      <c r="G628" s="2" t="s">
        <v>26</v>
      </c>
      <c r="H628" s="2" t="s">
        <v>11</v>
      </c>
    </row>
    <row r="629" spans="1:8" x14ac:dyDescent="0.3">
      <c r="A629" s="2" t="str">
        <f>HYPERLINK("https://hsdes.intel.com/resource/16014266497","16014266497")</f>
        <v>16014266497</v>
      </c>
      <c r="B629" s="2" t="s">
        <v>1242</v>
      </c>
      <c r="C629" s="2" t="s">
        <v>1241</v>
      </c>
      <c r="D629" s="6" t="s">
        <v>8</v>
      </c>
      <c r="E629" s="2"/>
      <c r="F629" s="2" t="s">
        <v>33</v>
      </c>
      <c r="G629" s="2" t="s">
        <v>34</v>
      </c>
      <c r="H629" s="2" t="s">
        <v>16</v>
      </c>
    </row>
    <row r="630" spans="1:8" x14ac:dyDescent="0.3">
      <c r="A630" s="2" t="str">
        <f>HYPERLINK("https://hsdes.intel.com/resource/16014267287","16014267287")</f>
        <v>16014267287</v>
      </c>
      <c r="B630" s="2" t="s">
        <v>1243</v>
      </c>
      <c r="C630" s="2" t="s">
        <v>1241</v>
      </c>
      <c r="D630" s="6" t="s">
        <v>8</v>
      </c>
      <c r="E630" s="2"/>
      <c r="F630" s="2" t="s">
        <v>33</v>
      </c>
      <c r="G630" s="2" t="s">
        <v>34</v>
      </c>
      <c r="H630" s="2" t="s">
        <v>16</v>
      </c>
    </row>
    <row r="631" spans="1:8" x14ac:dyDescent="0.3">
      <c r="A631" s="2" t="str">
        <f>HYPERLINK("https://hsdes.intel.com/resource/16015035984","16015035984")</f>
        <v>16015035984</v>
      </c>
      <c r="B631" s="2" t="s">
        <v>1244</v>
      </c>
      <c r="C631" s="2"/>
      <c r="D631" s="6" t="s">
        <v>8</v>
      </c>
      <c r="E631" s="2" t="s">
        <v>1246</v>
      </c>
      <c r="F631" s="2" t="s">
        <v>9</v>
      </c>
      <c r="G631" s="2" t="s">
        <v>799</v>
      </c>
      <c r="H631" s="2" t="s">
        <v>16</v>
      </c>
    </row>
    <row r="632" spans="1:8" x14ac:dyDescent="0.3">
      <c r="A632" s="2" t="str">
        <f>HYPERLINK("https://hsdes.intel.com/resource/16015062903","16015062903")</f>
        <v>16015062903</v>
      </c>
      <c r="B632" s="2" t="s">
        <v>1245</v>
      </c>
      <c r="C632" s="2"/>
      <c r="D632" s="6" t="s">
        <v>8</v>
      </c>
      <c r="E632" s="2"/>
      <c r="F632" s="2" t="s">
        <v>62</v>
      </c>
      <c r="G632" s="2" t="s">
        <v>63</v>
      </c>
      <c r="H632" s="2" t="s">
        <v>16</v>
      </c>
    </row>
    <row r="633" spans="1:8" x14ac:dyDescent="0.3">
      <c r="A633" s="2" t="str">
        <f>HYPERLINK("https://hsdes.intel.com/resource/14013165072","14013165072")</f>
        <v>14013165072</v>
      </c>
      <c r="B633" s="2" t="s">
        <v>1249</v>
      </c>
      <c r="C633" s="2" t="s">
        <v>1248</v>
      </c>
      <c r="D633" s="7" t="s">
        <v>88</v>
      </c>
      <c r="E633" s="2" t="s">
        <v>1250</v>
      </c>
      <c r="F633" s="2" t="s">
        <v>62</v>
      </c>
      <c r="G633" s="2" t="s">
        <v>63</v>
      </c>
      <c r="H633" s="2" t="s">
        <v>11</v>
      </c>
    </row>
    <row r="634" spans="1:8" x14ac:dyDescent="0.3">
      <c r="A634" s="2" t="str">
        <f>HYPERLINK("https://hsdes.intel.com/resource/14013165901","14013165901")</f>
        <v>14013165901</v>
      </c>
      <c r="B634" s="2" t="s">
        <v>1249</v>
      </c>
      <c r="C634" s="2" t="s">
        <v>1251</v>
      </c>
      <c r="D634" s="7" t="s">
        <v>88</v>
      </c>
      <c r="E634" s="2" t="s">
        <v>1250</v>
      </c>
      <c r="F634" s="2" t="s">
        <v>62</v>
      </c>
      <c r="G634" s="2" t="s">
        <v>63</v>
      </c>
      <c r="H634" s="2" t="s">
        <v>11</v>
      </c>
    </row>
  </sheetData>
  <conditionalFormatting sqref="A596:A63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Dasari Eswarappa, MeghanaX</dc:creator>
  <cp:lastModifiedBy>Agarwal, Naman</cp:lastModifiedBy>
  <dcterms:created xsi:type="dcterms:W3CDTF">2015-06-05T18:17:20Z</dcterms:created>
  <dcterms:modified xsi:type="dcterms:W3CDTF">2022-11-11T19:12:36Z</dcterms:modified>
</cp:coreProperties>
</file>