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8.xml" ContentType="application/vnd.openxmlformats-officedocument.drawing+xml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gapo\Desktop\"/>
    </mc:Choice>
  </mc:AlternateContent>
  <xr:revisionPtr revIDLastSave="0" documentId="13_ncr:1_{C8D9E2AB-F967-4894-9E9D-7E367830D4C0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Компоненты временного ряда ВВП" sheetId="15" r:id="rId1"/>
    <sheet name="Многоканальная СМО" sheetId="14" r:id="rId2"/>
    <sheet name="Кластеризация" sheetId="13" r:id="rId3"/>
    <sheet name="Согласованность экспертов" sheetId="12" r:id="rId4"/>
    <sheet name="Индексы" sheetId="11" r:id="rId5"/>
    <sheet name="Тест Граббса" sheetId="10" r:id="rId6"/>
    <sheet name="Страхование1" sheetId="7" r:id="rId7"/>
    <sheet name="Страхование2" sheetId="9" r:id="rId8"/>
    <sheet name="Хэджирование" sheetId="6" r:id="rId9"/>
    <sheet name="Секъюритизация" sheetId="5" r:id="rId10"/>
    <sheet name="Диверсификация производства" sheetId="4" r:id="rId11"/>
    <sheet name="Корреляционный и регрессионный " sheetId="3" r:id="rId12"/>
    <sheet name="VAR-оценка риска" sheetId="2" r:id="rId13"/>
  </sheets>
  <externalReferences>
    <externalReference r:id="rId14"/>
    <externalReference r:id="rId15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6" i="15" l="1"/>
  <c r="F104" i="15"/>
  <c r="F101" i="15"/>
  <c r="F100" i="15"/>
  <c r="F98" i="15"/>
  <c r="F96" i="15"/>
  <c r="F93" i="15"/>
  <c r="F92" i="15"/>
  <c r="F90" i="15"/>
  <c r="F88" i="15"/>
  <c r="F85" i="15"/>
  <c r="F84" i="15"/>
  <c r="F82" i="15"/>
  <c r="F80" i="15"/>
  <c r="F77" i="15"/>
  <c r="F76" i="15"/>
  <c r="F74" i="15"/>
  <c r="F72" i="15"/>
  <c r="F69" i="15"/>
  <c r="F68" i="15"/>
  <c r="B68" i="15"/>
  <c r="F107" i="15" s="1"/>
  <c r="F56" i="15"/>
  <c r="E56" i="15"/>
  <c r="D47" i="15"/>
  <c r="C47" i="15"/>
  <c r="I42" i="15"/>
  <c r="I41" i="15"/>
  <c r="D41" i="15"/>
  <c r="C41" i="15"/>
  <c r="I40" i="15"/>
  <c r="D40" i="15"/>
  <c r="E40" i="15" s="1"/>
  <c r="F40" i="15" s="1"/>
  <c r="D56" i="15" s="1"/>
  <c r="C40" i="15"/>
  <c r="I39" i="15"/>
  <c r="D39" i="15"/>
  <c r="E39" i="15" s="1"/>
  <c r="F39" i="15" s="1"/>
  <c r="C56" i="15" s="1"/>
  <c r="C39" i="15"/>
  <c r="I38" i="15"/>
  <c r="C38" i="15"/>
  <c r="D38" i="15" s="1"/>
  <c r="E38" i="15" s="1"/>
  <c r="F38" i="15" s="1"/>
  <c r="F55" i="15" s="1"/>
  <c r="I37" i="15"/>
  <c r="D37" i="15"/>
  <c r="E37" i="15" s="1"/>
  <c r="F37" i="15" s="1"/>
  <c r="E55" i="15" s="1"/>
  <c r="C37" i="15"/>
  <c r="I36" i="15"/>
  <c r="D36" i="15"/>
  <c r="E36" i="15" s="1"/>
  <c r="F36" i="15" s="1"/>
  <c r="D55" i="15" s="1"/>
  <c r="C36" i="15"/>
  <c r="I35" i="15"/>
  <c r="D35" i="15"/>
  <c r="E35" i="15" s="1"/>
  <c r="F35" i="15" s="1"/>
  <c r="C55" i="15" s="1"/>
  <c r="C35" i="15"/>
  <c r="I34" i="15"/>
  <c r="C34" i="15"/>
  <c r="D34" i="15" s="1"/>
  <c r="E34" i="15" s="1"/>
  <c r="F34" i="15" s="1"/>
  <c r="F54" i="15" s="1"/>
  <c r="I33" i="15"/>
  <c r="D33" i="15"/>
  <c r="C33" i="15"/>
  <c r="I32" i="15"/>
  <c r="D32" i="15"/>
  <c r="E32" i="15" s="1"/>
  <c r="F32" i="15" s="1"/>
  <c r="D54" i="15" s="1"/>
  <c r="C32" i="15"/>
  <c r="I31" i="15"/>
  <c r="D31" i="15"/>
  <c r="E31" i="15" s="1"/>
  <c r="F31" i="15" s="1"/>
  <c r="C54" i="15" s="1"/>
  <c r="C31" i="15"/>
  <c r="I30" i="15"/>
  <c r="C30" i="15"/>
  <c r="D30" i="15" s="1"/>
  <c r="E30" i="15" s="1"/>
  <c r="F30" i="15" s="1"/>
  <c r="F53" i="15" s="1"/>
  <c r="I29" i="15"/>
  <c r="D29" i="15"/>
  <c r="E29" i="15" s="1"/>
  <c r="F29" i="15" s="1"/>
  <c r="E53" i="15" s="1"/>
  <c r="C29" i="15"/>
  <c r="I28" i="15"/>
  <c r="D28" i="15"/>
  <c r="E28" i="15" s="1"/>
  <c r="F28" i="15" s="1"/>
  <c r="D53" i="15" s="1"/>
  <c r="C28" i="15"/>
  <c r="I27" i="15"/>
  <c r="D27" i="15"/>
  <c r="E27" i="15" s="1"/>
  <c r="F27" i="15" s="1"/>
  <c r="C53" i="15" s="1"/>
  <c r="C27" i="15"/>
  <c r="I26" i="15"/>
  <c r="C26" i="15"/>
  <c r="D26" i="15" s="1"/>
  <c r="E26" i="15" s="1"/>
  <c r="F26" i="15" s="1"/>
  <c r="F52" i="15" s="1"/>
  <c r="I25" i="15"/>
  <c r="D25" i="15"/>
  <c r="E25" i="15" s="1"/>
  <c r="F25" i="15" s="1"/>
  <c r="E52" i="15" s="1"/>
  <c r="C25" i="15"/>
  <c r="I24" i="15"/>
  <c r="D24" i="15"/>
  <c r="E24" i="15" s="1"/>
  <c r="F24" i="15" s="1"/>
  <c r="D52" i="15" s="1"/>
  <c r="C24" i="15"/>
  <c r="I23" i="15"/>
  <c r="D23" i="15"/>
  <c r="E23" i="15" s="1"/>
  <c r="F23" i="15" s="1"/>
  <c r="C52" i="15" s="1"/>
  <c r="C23" i="15"/>
  <c r="I22" i="15"/>
  <c r="C22" i="15"/>
  <c r="D22" i="15" s="1"/>
  <c r="E22" i="15" s="1"/>
  <c r="F22" i="15" s="1"/>
  <c r="F51" i="15" s="1"/>
  <c r="I21" i="15"/>
  <c r="D21" i="15"/>
  <c r="E21" i="15" s="1"/>
  <c r="F21" i="15" s="1"/>
  <c r="E51" i="15" s="1"/>
  <c r="C21" i="15"/>
  <c r="I20" i="15"/>
  <c r="D20" i="15"/>
  <c r="E20" i="15" s="1"/>
  <c r="F20" i="15" s="1"/>
  <c r="D51" i="15" s="1"/>
  <c r="C20" i="15"/>
  <c r="I19" i="15"/>
  <c r="D19" i="15"/>
  <c r="E19" i="15" s="1"/>
  <c r="F19" i="15" s="1"/>
  <c r="C51" i="15" s="1"/>
  <c r="C19" i="15"/>
  <c r="I18" i="15"/>
  <c r="C18" i="15"/>
  <c r="D18" i="15" s="1"/>
  <c r="E18" i="15" s="1"/>
  <c r="F18" i="15" s="1"/>
  <c r="F50" i="15" s="1"/>
  <c r="I17" i="15"/>
  <c r="D17" i="15"/>
  <c r="E17" i="15" s="1"/>
  <c r="F17" i="15" s="1"/>
  <c r="E50" i="15" s="1"/>
  <c r="C17" i="15"/>
  <c r="I16" i="15"/>
  <c r="D16" i="15"/>
  <c r="E16" i="15" s="1"/>
  <c r="F16" i="15" s="1"/>
  <c r="D50" i="15" s="1"/>
  <c r="C16" i="15"/>
  <c r="I15" i="15"/>
  <c r="D15" i="15"/>
  <c r="E15" i="15" s="1"/>
  <c r="F15" i="15" s="1"/>
  <c r="C50" i="15" s="1"/>
  <c r="C15" i="15"/>
  <c r="I14" i="15"/>
  <c r="C14" i="15"/>
  <c r="D14" i="15" s="1"/>
  <c r="E14" i="15" s="1"/>
  <c r="F14" i="15" s="1"/>
  <c r="F49" i="15" s="1"/>
  <c r="I13" i="15"/>
  <c r="C13" i="15"/>
  <c r="D13" i="15" s="1"/>
  <c r="I12" i="15"/>
  <c r="D12" i="15"/>
  <c r="E12" i="15" s="1"/>
  <c r="F12" i="15" s="1"/>
  <c r="D49" i="15" s="1"/>
  <c r="C12" i="15"/>
  <c r="I11" i="15"/>
  <c r="D11" i="15"/>
  <c r="E11" i="15" s="1"/>
  <c r="F11" i="15" s="1"/>
  <c r="C49" i="15" s="1"/>
  <c r="C11" i="15"/>
  <c r="I10" i="15"/>
  <c r="C10" i="15"/>
  <c r="D10" i="15" s="1"/>
  <c r="E10" i="15" s="1"/>
  <c r="F10" i="15" s="1"/>
  <c r="F48" i="15" s="1"/>
  <c r="I9" i="15"/>
  <c r="C9" i="15"/>
  <c r="D9" i="15" s="1"/>
  <c r="E9" i="15" s="1"/>
  <c r="F9" i="15" s="1"/>
  <c r="E48" i="15" s="1"/>
  <c r="I8" i="15"/>
  <c r="D8" i="15"/>
  <c r="C8" i="15"/>
  <c r="I7" i="15"/>
  <c r="D7" i="15"/>
  <c r="E7" i="15" s="1"/>
  <c r="F7" i="15" s="1"/>
  <c r="C48" i="15" s="1"/>
  <c r="C57" i="15" s="1"/>
  <c r="C58" i="15" s="1"/>
  <c r="C7" i="15"/>
  <c r="I6" i="15"/>
  <c r="C6" i="15"/>
  <c r="D6" i="15" s="1"/>
  <c r="E6" i="15" s="1"/>
  <c r="F6" i="15" s="1"/>
  <c r="F47" i="15" s="1"/>
  <c r="I5" i="15"/>
  <c r="C5" i="15"/>
  <c r="D5" i="15" s="1"/>
  <c r="I4" i="15"/>
  <c r="I3" i="15"/>
  <c r="B23" i="14"/>
  <c r="B25" i="14" s="1"/>
  <c r="B20" i="14"/>
  <c r="C16" i="14"/>
  <c r="B16" i="14"/>
  <c r="D16" i="14" s="1"/>
  <c r="C15" i="14"/>
  <c r="C14" i="14"/>
  <c r="B14" i="14"/>
  <c r="D14" i="14" s="1"/>
  <c r="C13" i="14"/>
  <c r="B13" i="14"/>
  <c r="D13" i="14" s="1"/>
  <c r="B9" i="14"/>
  <c r="C131" i="13"/>
  <c r="C147" i="13" s="1"/>
  <c r="B131" i="13"/>
  <c r="B147" i="13" s="1"/>
  <c r="C129" i="13"/>
  <c r="F124" i="13"/>
  <c r="F123" i="13"/>
  <c r="B129" i="13" s="1"/>
  <c r="F115" i="13"/>
  <c r="F103" i="13"/>
  <c r="C108" i="13" s="1"/>
  <c r="F120" i="13" s="1"/>
  <c r="C130" i="13" s="1"/>
  <c r="F98" i="13"/>
  <c r="B90" i="13"/>
  <c r="F85" i="13"/>
  <c r="C90" i="13" s="1"/>
  <c r="F84" i="13"/>
  <c r="F80" i="13"/>
  <c r="C72" i="13"/>
  <c r="C71" i="13"/>
  <c r="F66" i="13"/>
  <c r="F65" i="13"/>
  <c r="B71" i="13" s="1"/>
  <c r="F62" i="13"/>
  <c r="F61" i="13"/>
  <c r="B72" i="13" s="1"/>
  <c r="F72" i="13" s="1"/>
  <c r="F57" i="13"/>
  <c r="F54" i="13"/>
  <c r="F53" i="13"/>
  <c r="F52" i="13"/>
  <c r="F51" i="13"/>
  <c r="F50" i="13"/>
  <c r="F49" i="13"/>
  <c r="F48" i="13"/>
  <c r="F47" i="13"/>
  <c r="C32" i="13"/>
  <c r="B32" i="13"/>
  <c r="K32" i="13" s="1"/>
  <c r="C31" i="13"/>
  <c r="C30" i="13"/>
  <c r="C29" i="13"/>
  <c r="B29" i="13"/>
  <c r="C27" i="13"/>
  <c r="B26" i="13"/>
  <c r="B25" i="13"/>
  <c r="B21" i="13"/>
  <c r="C25" i="13" s="1"/>
  <c r="B20" i="13"/>
  <c r="B31" i="13" s="1"/>
  <c r="G14" i="13"/>
  <c r="B80" i="12"/>
  <c r="B68" i="12"/>
  <c r="B67" i="12"/>
  <c r="B73" i="12" s="1"/>
  <c r="B66" i="12"/>
  <c r="C76" i="12" s="1"/>
  <c r="B48" i="12"/>
  <c r="I42" i="12"/>
  <c r="H42" i="12"/>
  <c r="G42" i="12"/>
  <c r="F42" i="12"/>
  <c r="E42" i="12"/>
  <c r="D42" i="12"/>
  <c r="C42" i="12"/>
  <c r="B42" i="12"/>
  <c r="J42" i="12" s="1"/>
  <c r="B26" i="11"/>
  <c r="B27" i="11" s="1"/>
  <c r="B25" i="11"/>
  <c r="B20" i="11"/>
  <c r="B19" i="11"/>
  <c r="B21" i="11" s="1"/>
  <c r="B15" i="11"/>
  <c r="B14" i="11"/>
  <c r="B13" i="11"/>
  <c r="B103" i="10"/>
  <c r="B102" i="10"/>
  <c r="B101" i="10"/>
  <c r="B100" i="10"/>
  <c r="B99" i="10"/>
  <c r="B98" i="10"/>
  <c r="B97" i="10"/>
  <c r="B96" i="10"/>
  <c r="B95" i="10"/>
  <c r="B94" i="10"/>
  <c r="B93" i="10"/>
  <c r="B92" i="10"/>
  <c r="B91" i="10"/>
  <c r="B90" i="10"/>
  <c r="B108" i="10" s="1"/>
  <c r="B89" i="10"/>
  <c r="B88" i="10"/>
  <c r="B107" i="10" s="1"/>
  <c r="A113" i="10" s="1"/>
  <c r="B87" i="10"/>
  <c r="B86" i="10"/>
  <c r="B77" i="10"/>
  <c r="B80" i="10" s="1"/>
  <c r="B76" i="10"/>
  <c r="B79" i="10" s="1"/>
  <c r="B75" i="10"/>
  <c r="B74" i="10"/>
  <c r="B66" i="10"/>
  <c r="B69" i="10" s="1"/>
  <c r="B65" i="10"/>
  <c r="B68" i="10" s="1"/>
  <c r="B64" i="10"/>
  <c r="B63" i="10"/>
  <c r="B55" i="10"/>
  <c r="B54" i="10"/>
  <c r="B53" i="10"/>
  <c r="B52" i="10"/>
  <c r="B58" i="10" s="1"/>
  <c r="B47" i="10"/>
  <c r="B46" i="10"/>
  <c r="B45" i="10"/>
  <c r="B44" i="10"/>
  <c r="B43" i="10"/>
  <c r="B42" i="10"/>
  <c r="B41" i="10"/>
  <c r="B36" i="10"/>
  <c r="B35" i="10"/>
  <c r="B34" i="10"/>
  <c r="B33" i="10"/>
  <c r="B32" i="10"/>
  <c r="B31" i="10"/>
  <c r="B30" i="10"/>
  <c r="E5" i="15" l="1"/>
  <c r="F5" i="15" s="1"/>
  <c r="E47" i="15" s="1"/>
  <c r="E8" i="15"/>
  <c r="F8" i="15" s="1"/>
  <c r="D48" i="15" s="1"/>
  <c r="D57" i="15" s="1"/>
  <c r="D58" i="15" s="1"/>
  <c r="F57" i="15"/>
  <c r="F58" i="15" s="1"/>
  <c r="E33" i="15"/>
  <c r="F33" i="15" s="1"/>
  <c r="E54" i="15" s="1"/>
  <c r="E13" i="15"/>
  <c r="F13" i="15" s="1"/>
  <c r="E49" i="15" s="1"/>
  <c r="F70" i="15"/>
  <c r="B69" i="15" s="1"/>
  <c r="F78" i="15"/>
  <c r="F86" i="15"/>
  <c r="F94" i="15"/>
  <c r="F102" i="15"/>
  <c r="F71" i="15"/>
  <c r="F79" i="15"/>
  <c r="F87" i="15"/>
  <c r="F95" i="15"/>
  <c r="F103" i="15"/>
  <c r="F73" i="15"/>
  <c r="F81" i="15"/>
  <c r="F89" i="15"/>
  <c r="F97" i="15"/>
  <c r="F105" i="15"/>
  <c r="F75" i="15"/>
  <c r="F83" i="15"/>
  <c r="F91" i="15"/>
  <c r="F99" i="15"/>
  <c r="B24" i="14"/>
  <c r="B26" i="14" s="1"/>
  <c r="B19" i="14"/>
  <c r="B21" i="14" s="1"/>
  <c r="B15" i="14"/>
  <c r="D15" i="14" s="1"/>
  <c r="D17" i="14" s="1"/>
  <c r="B28" i="14" s="1"/>
  <c r="I29" i="13"/>
  <c r="F94" i="13"/>
  <c r="F74" i="13"/>
  <c r="F77" i="13"/>
  <c r="B91" i="13"/>
  <c r="F76" i="13"/>
  <c r="F75" i="13"/>
  <c r="F93" i="13"/>
  <c r="F95" i="13"/>
  <c r="K31" i="13"/>
  <c r="F31" i="13"/>
  <c r="G31" i="13"/>
  <c r="G26" i="13"/>
  <c r="F139" i="13"/>
  <c r="C146" i="13" s="1"/>
  <c r="C26" i="13"/>
  <c r="H29" i="13" s="1"/>
  <c r="B28" i="13"/>
  <c r="F32" i="13"/>
  <c r="B33" i="13"/>
  <c r="C28" i="13"/>
  <c r="G29" i="13"/>
  <c r="G32" i="13"/>
  <c r="C33" i="13"/>
  <c r="M32" i="13"/>
  <c r="B24" i="13"/>
  <c r="F40" i="13" s="1"/>
  <c r="B73" i="13" s="1"/>
  <c r="H32" i="13"/>
  <c r="C24" i="13"/>
  <c r="F41" i="13" s="1"/>
  <c r="C73" i="13" s="1"/>
  <c r="B27" i="13"/>
  <c r="I32" i="13"/>
  <c r="F92" i="13"/>
  <c r="B30" i="13"/>
  <c r="I44" i="12"/>
  <c r="B69" i="12"/>
  <c r="C73" i="12" s="1"/>
  <c r="B43" i="12"/>
  <c r="B44" i="12"/>
  <c r="B110" i="10"/>
  <c r="B57" i="10"/>
  <c r="B106" i="10"/>
  <c r="E57" i="15" l="1"/>
  <c r="E58" i="15" s="1"/>
  <c r="B63" i="15" s="1"/>
  <c r="B30" i="14"/>
  <c r="F30" i="14" s="1"/>
  <c r="F28" i="14"/>
  <c r="B34" i="14"/>
  <c r="F34" i="14" s="1"/>
  <c r="B33" i="14"/>
  <c r="F33" i="14" s="1"/>
  <c r="B29" i="14"/>
  <c r="B31" i="14"/>
  <c r="F31" i="14" s="1"/>
  <c r="B35" i="14"/>
  <c r="F35" i="14" s="1"/>
  <c r="B32" i="14"/>
  <c r="B36" i="14"/>
  <c r="K30" i="13"/>
  <c r="J30" i="13"/>
  <c r="I30" i="13"/>
  <c r="H30" i="13"/>
  <c r="G30" i="13"/>
  <c r="F30" i="13"/>
  <c r="L32" i="13"/>
  <c r="F29" i="13"/>
  <c r="H31" i="13"/>
  <c r="F27" i="13"/>
  <c r="G27" i="13"/>
  <c r="H27" i="13"/>
  <c r="I31" i="13"/>
  <c r="I28" i="13"/>
  <c r="J32" i="13"/>
  <c r="H28" i="13"/>
  <c r="G28" i="13"/>
  <c r="J29" i="13"/>
  <c r="F28" i="13"/>
  <c r="G74" i="13"/>
  <c r="G77" i="13"/>
  <c r="G76" i="13"/>
  <c r="G75" i="13"/>
  <c r="J31" i="13"/>
  <c r="F91" i="13"/>
  <c r="F102" i="13"/>
  <c r="B108" i="13" s="1"/>
  <c r="F26" i="13"/>
  <c r="F25" i="13"/>
  <c r="L31" i="13"/>
  <c r="G73" i="13"/>
  <c r="F73" i="13"/>
  <c r="I33" i="13"/>
  <c r="H33" i="13"/>
  <c r="G33" i="13"/>
  <c r="N33" i="13"/>
  <c r="F33" i="13"/>
  <c r="M33" i="13"/>
  <c r="K33" i="13"/>
  <c r="L33" i="13"/>
  <c r="J33" i="13"/>
  <c r="B74" i="12"/>
  <c r="E73" i="12"/>
  <c r="D73" i="12"/>
  <c r="F73" i="12" s="1"/>
  <c r="F44" i="12"/>
  <c r="E44" i="12"/>
  <c r="H44" i="12"/>
  <c r="G44" i="12"/>
  <c r="D44" i="12"/>
  <c r="C44" i="12"/>
  <c r="J44" i="12" s="1"/>
  <c r="B45" i="12" s="1"/>
  <c r="B47" i="12" s="1"/>
  <c r="B109" i="10"/>
  <c r="B113" i="10" s="1"/>
  <c r="D113" i="10" s="1"/>
  <c r="E113" i="10" s="1"/>
  <c r="B118" i="10"/>
  <c r="C59" i="15" l="1"/>
  <c r="F59" i="15"/>
  <c r="D59" i="15"/>
  <c r="E59" i="15"/>
  <c r="F29" i="14"/>
  <c r="B42" i="14"/>
  <c r="B39" i="14"/>
  <c r="B40" i="14" s="1"/>
  <c r="F36" i="14"/>
  <c r="B37" i="14"/>
  <c r="F32" i="14"/>
  <c r="B43" i="14"/>
  <c r="B47" i="14" s="1"/>
  <c r="G42" i="14"/>
  <c r="F36" i="13"/>
  <c r="G15" i="13"/>
  <c r="F110" i="13"/>
  <c r="F131" i="13"/>
  <c r="F109" i="13"/>
  <c r="F112" i="13"/>
  <c r="F119" i="13"/>
  <c r="B130" i="13" s="1"/>
  <c r="F111" i="13"/>
  <c r="E74" i="12"/>
  <c r="D74" i="12"/>
  <c r="F74" i="12" s="1"/>
  <c r="C74" i="12"/>
  <c r="B75" i="12" s="1"/>
  <c r="A114" i="10"/>
  <c r="C113" i="10"/>
  <c r="G39" i="15" l="1"/>
  <c r="G35" i="15"/>
  <c r="G31" i="15"/>
  <c r="G27" i="15"/>
  <c r="G23" i="15"/>
  <c r="G19" i="15"/>
  <c r="G15" i="15"/>
  <c r="G3" i="15"/>
  <c r="G59" i="15"/>
  <c r="G11" i="15"/>
  <c r="G7" i="15"/>
  <c r="G37" i="15"/>
  <c r="G33" i="15"/>
  <c r="G29" i="15"/>
  <c r="G25" i="15"/>
  <c r="G21" i="15"/>
  <c r="G17" i="15"/>
  <c r="G13" i="15"/>
  <c r="G9" i="15"/>
  <c r="G5" i="15"/>
  <c r="G41" i="15"/>
  <c r="G20" i="15"/>
  <c r="G8" i="15"/>
  <c r="G36" i="15"/>
  <c r="G16" i="15"/>
  <c r="G12" i="15"/>
  <c r="G40" i="15"/>
  <c r="G32" i="15"/>
  <c r="G28" i="15"/>
  <c r="G24" i="15"/>
  <c r="G4" i="15"/>
  <c r="G42" i="15"/>
  <c r="G38" i="15"/>
  <c r="G34" i="15"/>
  <c r="G30" i="15"/>
  <c r="G26" i="15"/>
  <c r="G22" i="15"/>
  <c r="G18" i="15"/>
  <c r="G14" i="15"/>
  <c r="G10" i="15"/>
  <c r="G6" i="15"/>
  <c r="B46" i="14"/>
  <c r="B44" i="14"/>
  <c r="B48" i="14" s="1"/>
  <c r="F130" i="13"/>
  <c r="F134" i="13" s="1"/>
  <c r="F138" i="13"/>
  <c r="B146" i="13" s="1"/>
  <c r="F147" i="13" s="1"/>
  <c r="F150" i="13" s="1"/>
  <c r="D75" i="12"/>
  <c r="F75" i="12" s="1"/>
  <c r="C75" i="12"/>
  <c r="B76" i="12" s="1"/>
  <c r="E75" i="12"/>
  <c r="B114" i="10"/>
  <c r="F113" i="10"/>
  <c r="J16" i="15" l="1"/>
  <c r="K16" i="15" s="1"/>
  <c r="L16" i="15" s="1"/>
  <c r="H16" i="15"/>
  <c r="H42" i="15"/>
  <c r="J42" i="15"/>
  <c r="K42" i="15" s="1"/>
  <c r="L42" i="15" s="1"/>
  <c r="H14" i="15"/>
  <c r="J14" i="15"/>
  <c r="K14" i="15" s="1"/>
  <c r="L14" i="15" s="1"/>
  <c r="J4" i="15"/>
  <c r="K4" i="15" s="1"/>
  <c r="L4" i="15" s="1"/>
  <c r="H4" i="15"/>
  <c r="J8" i="15"/>
  <c r="K8" i="15" s="1"/>
  <c r="L8" i="15" s="1"/>
  <c r="H8" i="15"/>
  <c r="J25" i="15"/>
  <c r="K25" i="15" s="1"/>
  <c r="L25" i="15" s="1"/>
  <c r="H25" i="15"/>
  <c r="H15" i="15"/>
  <c r="J15" i="15"/>
  <c r="K15" i="15" s="1"/>
  <c r="L15" i="15" s="1"/>
  <c r="J36" i="15"/>
  <c r="K36" i="15" s="1"/>
  <c r="L36" i="15" s="1"/>
  <c r="H36" i="15"/>
  <c r="J20" i="15"/>
  <c r="K20" i="15" s="1"/>
  <c r="L20" i="15" s="1"/>
  <c r="H20" i="15"/>
  <c r="H29" i="15"/>
  <c r="J29" i="15"/>
  <c r="K29" i="15" s="1"/>
  <c r="L29" i="15" s="1"/>
  <c r="H19" i="15"/>
  <c r="J19" i="15"/>
  <c r="K19" i="15" s="1"/>
  <c r="L19" i="15" s="1"/>
  <c r="H6" i="15"/>
  <c r="J6" i="15"/>
  <c r="K6" i="15" s="1"/>
  <c r="L6" i="15" s="1"/>
  <c r="H39" i="15"/>
  <c r="J39" i="15"/>
  <c r="K39" i="15" s="1"/>
  <c r="L39" i="15" s="1"/>
  <c r="H10" i="15"/>
  <c r="J10" i="15"/>
  <c r="K10" i="15" s="1"/>
  <c r="L10" i="15" s="1"/>
  <c r="H22" i="15"/>
  <c r="J22" i="15"/>
  <c r="K22" i="15" s="1"/>
  <c r="L22" i="15" s="1"/>
  <c r="H38" i="15"/>
  <c r="J38" i="15"/>
  <c r="K38" i="15" s="1"/>
  <c r="L38" i="15" s="1"/>
  <c r="H3" i="15"/>
  <c r="J3" i="15"/>
  <c r="K3" i="15" s="1"/>
  <c r="L3" i="15" s="1"/>
  <c r="H37" i="15"/>
  <c r="J37" i="15"/>
  <c r="K37" i="15" s="1"/>
  <c r="L37" i="15" s="1"/>
  <c r="H27" i="15"/>
  <c r="J27" i="15"/>
  <c r="K27" i="15" s="1"/>
  <c r="L27" i="15" s="1"/>
  <c r="H17" i="15"/>
  <c r="J17" i="15"/>
  <c r="K17" i="15" s="1"/>
  <c r="L17" i="15" s="1"/>
  <c r="H21" i="15"/>
  <c r="J21" i="15"/>
  <c r="K21" i="15" s="1"/>
  <c r="L21" i="15" s="1"/>
  <c r="H18" i="15"/>
  <c r="J18" i="15"/>
  <c r="K18" i="15" s="1"/>
  <c r="L18" i="15" s="1"/>
  <c r="J24" i="15"/>
  <c r="K24" i="15" s="1"/>
  <c r="L24" i="15" s="1"/>
  <c r="H24" i="15"/>
  <c r="J28" i="15"/>
  <c r="K28" i="15" s="1"/>
  <c r="L28" i="15" s="1"/>
  <c r="H28" i="15"/>
  <c r="J41" i="15"/>
  <c r="K41" i="15" s="1"/>
  <c r="L41" i="15" s="1"/>
  <c r="H41" i="15"/>
  <c r="H33" i="15"/>
  <c r="J33" i="15"/>
  <c r="K33" i="15" s="1"/>
  <c r="L33" i="15" s="1"/>
  <c r="H23" i="15"/>
  <c r="J23" i="15"/>
  <c r="K23" i="15" s="1"/>
  <c r="L23" i="15" s="1"/>
  <c r="J26" i="15"/>
  <c r="K26" i="15" s="1"/>
  <c r="L26" i="15" s="1"/>
  <c r="H26" i="15"/>
  <c r="J32" i="15"/>
  <c r="K32" i="15" s="1"/>
  <c r="L32" i="15" s="1"/>
  <c r="H32" i="15"/>
  <c r="J5" i="15"/>
  <c r="K5" i="15" s="1"/>
  <c r="L5" i="15" s="1"/>
  <c r="H5" i="15"/>
  <c r="H30" i="15"/>
  <c r="J30" i="15"/>
  <c r="K30" i="15" s="1"/>
  <c r="L30" i="15" s="1"/>
  <c r="J40" i="15"/>
  <c r="K40" i="15" s="1"/>
  <c r="L40" i="15" s="1"/>
  <c r="H40" i="15"/>
  <c r="H9" i="15"/>
  <c r="J9" i="15"/>
  <c r="K9" i="15" s="1"/>
  <c r="L9" i="15" s="1"/>
  <c r="H7" i="15"/>
  <c r="J7" i="15"/>
  <c r="K7" i="15" s="1"/>
  <c r="L7" i="15" s="1"/>
  <c r="H31" i="15"/>
  <c r="J31" i="15"/>
  <c r="K31" i="15" s="1"/>
  <c r="L31" i="15" s="1"/>
  <c r="H34" i="15"/>
  <c r="J34" i="15"/>
  <c r="K34" i="15" s="1"/>
  <c r="L34" i="15" s="1"/>
  <c r="J12" i="15"/>
  <c r="K12" i="15" s="1"/>
  <c r="L12" i="15" s="1"/>
  <c r="H12" i="15"/>
  <c r="H13" i="15"/>
  <c r="J13" i="15"/>
  <c r="K13" i="15" s="1"/>
  <c r="L13" i="15" s="1"/>
  <c r="H11" i="15"/>
  <c r="J11" i="15"/>
  <c r="K11" i="15" s="1"/>
  <c r="L11" i="15" s="1"/>
  <c r="H35" i="15"/>
  <c r="J35" i="15"/>
  <c r="K35" i="15" s="1"/>
  <c r="L35" i="15" s="1"/>
  <c r="E76" i="12"/>
  <c r="D76" i="12"/>
  <c r="A115" i="10"/>
  <c r="D114" i="10"/>
  <c r="E114" i="10" s="1"/>
  <c r="C114" i="10"/>
  <c r="L43" i="15" l="1"/>
  <c r="B67" i="15" s="1"/>
  <c r="B70" i="15" s="1"/>
  <c r="F76" i="12"/>
  <c r="B79" i="12" s="1"/>
  <c r="F114" i="10"/>
  <c r="B115" i="10"/>
  <c r="A116" i="10" l="1"/>
  <c r="D115" i="10"/>
  <c r="E115" i="10" s="1"/>
  <c r="C115" i="10"/>
  <c r="F115" i="10" l="1"/>
  <c r="B116" i="10"/>
  <c r="A117" i="10" l="1"/>
  <c r="D116" i="10"/>
  <c r="E116" i="10" s="1"/>
  <c r="C116" i="10"/>
  <c r="B117" i="10" l="1"/>
  <c r="F116" i="10"/>
  <c r="A118" i="10" l="1"/>
  <c r="D117" i="10"/>
  <c r="E117" i="10" s="1"/>
  <c r="C117" i="10"/>
  <c r="F117" i="10" l="1"/>
  <c r="C118" i="10"/>
  <c r="F118" i="10" s="1"/>
  <c r="B127" i="10" s="1"/>
  <c r="D118" i="10"/>
  <c r="E118" i="10" s="1"/>
  <c r="C120" i="10"/>
  <c r="B125" i="10" s="1"/>
  <c r="B128" i="10" s="1"/>
  <c r="C119" i="10" l="1"/>
  <c r="C226" i="9" l="1"/>
  <c r="C227" i="9" s="1"/>
  <c r="C229" i="9" s="1"/>
  <c r="B172" i="9"/>
  <c r="E172" i="9" s="1"/>
  <c r="E169" i="9"/>
  <c r="B160" i="9"/>
  <c r="B159" i="9"/>
  <c r="B142" i="9"/>
  <c r="B136" i="9"/>
  <c r="E100" i="9"/>
  <c r="B100" i="9"/>
  <c r="E98" i="9"/>
  <c r="E96" i="9"/>
  <c r="B96" i="9"/>
  <c r="E94" i="9"/>
  <c r="E92" i="9"/>
  <c r="B92" i="9"/>
  <c r="E90" i="9"/>
  <c r="C82" i="9"/>
  <c r="C77" i="9"/>
  <c r="E99" i="9" s="1"/>
  <c r="G56" i="9"/>
  <c r="E52" i="9"/>
  <c r="B52" i="9"/>
  <c r="A52" i="9"/>
  <c r="E51" i="9"/>
  <c r="E50" i="9"/>
  <c r="E49" i="9"/>
  <c r="E48" i="9"/>
  <c r="B48" i="9"/>
  <c r="A48" i="9"/>
  <c r="E47" i="9"/>
  <c r="E46" i="9"/>
  <c r="A46" i="9"/>
  <c r="E45" i="9"/>
  <c r="B40" i="9"/>
  <c r="A40" i="9"/>
  <c r="B39" i="9"/>
  <c r="B51" i="9" s="1"/>
  <c r="A39" i="9"/>
  <c r="A51" i="9" s="1"/>
  <c r="B38" i="9"/>
  <c r="B50" i="9" s="1"/>
  <c r="A38" i="9"/>
  <c r="B37" i="9"/>
  <c r="B49" i="9" s="1"/>
  <c r="A37" i="9"/>
  <c r="A49" i="9" s="1"/>
  <c r="B36" i="9"/>
  <c r="A36" i="9"/>
  <c r="B35" i="9"/>
  <c r="B47" i="9" s="1"/>
  <c r="A35" i="9"/>
  <c r="A47" i="9" s="1"/>
  <c r="B34" i="9"/>
  <c r="B46" i="9" s="1"/>
  <c r="A34" i="9"/>
  <c r="B33" i="9"/>
  <c r="B45" i="9" s="1"/>
  <c r="A33" i="9"/>
  <c r="E34" i="9" s="1"/>
  <c r="C234" i="9" l="1"/>
  <c r="C233" i="9"/>
  <c r="B54" i="9"/>
  <c r="F51" i="9"/>
  <c r="G51" i="9" s="1"/>
  <c r="F47" i="9"/>
  <c r="G47" i="9" s="1"/>
  <c r="A50" i="9"/>
  <c r="B89" i="9"/>
  <c r="B101" i="9"/>
  <c r="E33" i="9"/>
  <c r="C50" i="9" s="1"/>
  <c r="A45" i="9"/>
  <c r="E89" i="9"/>
  <c r="E93" i="9"/>
  <c r="E97" i="9"/>
  <c r="E101" i="9"/>
  <c r="B175" i="9"/>
  <c r="B182" i="9" s="1"/>
  <c r="B93" i="9"/>
  <c r="B97" i="9"/>
  <c r="B90" i="9"/>
  <c r="B94" i="9"/>
  <c r="B98" i="9"/>
  <c r="B91" i="9"/>
  <c r="B95" i="9"/>
  <c r="B99" i="9"/>
  <c r="C81" i="9"/>
  <c r="C83" i="9" s="1"/>
  <c r="E91" i="9"/>
  <c r="E95" i="9"/>
  <c r="C48" i="9" l="1"/>
  <c r="F46" i="9"/>
  <c r="G46" i="9" s="1"/>
  <c r="F50" i="9"/>
  <c r="G50" i="9" s="1"/>
  <c r="F49" i="9"/>
  <c r="G49" i="9" s="1"/>
  <c r="C45" i="9"/>
  <c r="C51" i="9"/>
  <c r="C49" i="9"/>
  <c r="C47" i="9"/>
  <c r="F45" i="9"/>
  <c r="G45" i="9" s="1"/>
  <c r="C46" i="9"/>
  <c r="F52" i="9"/>
  <c r="G52" i="9" s="1"/>
  <c r="C52" i="9"/>
  <c r="F48" i="9"/>
  <c r="G48" i="9" s="1"/>
  <c r="G54" i="9" l="1"/>
  <c r="C205" i="7"/>
  <c r="C203" i="7"/>
  <c r="C204" i="7" s="1"/>
  <c r="D188" i="7"/>
  <c r="F184" i="7"/>
  <c r="C183" i="7"/>
  <c r="C185" i="7" s="1"/>
  <c r="C182" i="7"/>
  <c r="C184" i="7" s="1"/>
  <c r="C172" i="7"/>
  <c r="F171" i="7"/>
  <c r="D175" i="7" s="1"/>
  <c r="C171" i="7"/>
  <c r="F159" i="7"/>
  <c r="D162" i="7" s="1"/>
  <c r="C159" i="7"/>
  <c r="F158" i="7"/>
  <c r="C158" i="7"/>
  <c r="D149" i="7"/>
  <c r="C145" i="7"/>
  <c r="D121" i="7"/>
  <c r="C118" i="7"/>
  <c r="C117" i="7"/>
  <c r="L79" i="7"/>
  <c r="G79" i="7"/>
  <c r="D79" i="7"/>
  <c r="L78" i="7"/>
  <c r="K78" i="7"/>
  <c r="K79" i="7" s="1"/>
  <c r="J78" i="7"/>
  <c r="J79" i="7" s="1"/>
  <c r="I78" i="7"/>
  <c r="I79" i="7" s="1"/>
  <c r="H78" i="7"/>
  <c r="G78" i="7"/>
  <c r="F78" i="7"/>
  <c r="E78" i="7"/>
  <c r="E79" i="7" s="1"/>
  <c r="D78" i="7"/>
  <c r="C78" i="7"/>
  <c r="C79" i="7" s="1"/>
  <c r="B78" i="7"/>
  <c r="B79" i="7" s="1"/>
  <c r="J76" i="7"/>
  <c r="F76" i="7"/>
  <c r="E76" i="7"/>
  <c r="B76" i="7"/>
  <c r="L75" i="7"/>
  <c r="L76" i="7" s="1"/>
  <c r="K75" i="7"/>
  <c r="K76" i="7" s="1"/>
  <c r="J75" i="7"/>
  <c r="I75" i="7"/>
  <c r="I76" i="7" s="1"/>
  <c r="H75" i="7"/>
  <c r="H79" i="7" s="1"/>
  <c r="G75" i="7"/>
  <c r="G76" i="7" s="1"/>
  <c r="F75" i="7"/>
  <c r="F79" i="7" s="1"/>
  <c r="E75" i="7"/>
  <c r="D75" i="7"/>
  <c r="D76" i="7" s="1"/>
  <c r="C75" i="7"/>
  <c r="C76" i="7" s="1"/>
  <c r="B75" i="7"/>
  <c r="E39" i="7"/>
  <c r="D39" i="7"/>
  <c r="D52" i="7" s="1"/>
  <c r="C39" i="7"/>
  <c r="B39" i="7"/>
  <c r="E38" i="7"/>
  <c r="D38" i="7"/>
  <c r="C38" i="7"/>
  <c r="B38" i="7"/>
  <c r="C43" i="7" s="1"/>
  <c r="D12" i="7"/>
  <c r="C12" i="7"/>
  <c r="B12" i="7"/>
  <c r="C17" i="7" s="1"/>
  <c r="B22" i="7" s="1"/>
  <c r="C89" i="7" l="1"/>
  <c r="B56" i="7"/>
  <c r="E52" i="7"/>
  <c r="B52" i="7"/>
  <c r="C52" i="7"/>
  <c r="H76" i="7"/>
  <c r="C88" i="7" s="1"/>
  <c r="B97" i="7" l="1"/>
  <c r="C90" i="7"/>
  <c r="C91" i="7" s="1"/>
  <c r="B98" i="7" s="1"/>
  <c r="B99" i="7" l="1"/>
  <c r="H110" i="6"/>
  <c r="E95" i="6"/>
  <c r="E94" i="6"/>
  <c r="E130" i="6" s="1"/>
  <c r="E93" i="6"/>
  <c r="E92" i="6"/>
  <c r="G102" i="6" s="1"/>
  <c r="E91" i="6"/>
  <c r="E99" i="6" s="1"/>
  <c r="H60" i="6"/>
  <c r="E45" i="6"/>
  <c r="E44" i="6"/>
  <c r="E81" i="6" s="1"/>
  <c r="E43" i="6"/>
  <c r="E42" i="6"/>
  <c r="G52" i="6" s="1"/>
  <c r="E41" i="6"/>
  <c r="H56" i="6" s="1"/>
  <c r="C30" i="6"/>
  <c r="C29" i="6"/>
  <c r="C32" i="6" s="1"/>
  <c r="C14" i="6"/>
  <c r="C13" i="6"/>
  <c r="C16" i="6" s="1"/>
  <c r="E49" i="6" l="1"/>
  <c r="C31" i="6"/>
  <c r="H106" i="6"/>
  <c r="H102" i="6"/>
  <c r="H52" i="6"/>
  <c r="I102" i="6"/>
  <c r="C15" i="6"/>
  <c r="G53" i="6" l="1"/>
  <c r="J52" i="6"/>
  <c r="K52" i="6" s="1"/>
  <c r="I52" i="6"/>
  <c r="L52" i="6" s="1"/>
  <c r="G103" i="6"/>
  <c r="J102" i="6"/>
  <c r="K102" i="6" s="1"/>
  <c r="L102" i="6" s="1"/>
  <c r="H103" i="6" l="1"/>
  <c r="I53" i="6"/>
  <c r="H53" i="6"/>
  <c r="G54" i="6" l="1"/>
  <c r="J53" i="6"/>
  <c r="K53" i="6" s="1"/>
  <c r="L53" i="6" s="1"/>
  <c r="J103" i="6"/>
  <c r="K103" i="6" s="1"/>
  <c r="G104" i="6"/>
  <c r="I103" i="6"/>
  <c r="L103" i="6" s="1"/>
  <c r="H104" i="6" l="1"/>
  <c r="I104" i="6" s="1"/>
  <c r="H54" i="6"/>
  <c r="I54" i="6" s="1"/>
  <c r="G55" i="6" l="1"/>
  <c r="J54" i="6"/>
  <c r="K54" i="6" s="1"/>
  <c r="L54" i="6" s="1"/>
  <c r="J104" i="6"/>
  <c r="K104" i="6" s="1"/>
  <c r="L104" i="6" s="1"/>
  <c r="G105" i="6"/>
  <c r="H105" i="6" l="1"/>
  <c r="H55" i="6"/>
  <c r="J55" i="6" l="1"/>
  <c r="K55" i="6" s="1"/>
  <c r="G56" i="6"/>
  <c r="I55" i="6"/>
  <c r="L55" i="6" s="1"/>
  <c r="G106" i="6"/>
  <c r="J105" i="6"/>
  <c r="K105" i="6" s="1"/>
  <c r="I105" i="6"/>
  <c r="L105" i="6" s="1"/>
  <c r="J106" i="6" l="1"/>
  <c r="I106" i="6"/>
  <c r="L106" i="6" s="1"/>
  <c r="H109" i="6" s="1"/>
  <c r="J56" i="6"/>
  <c r="K56" i="6" s="1"/>
  <c r="I56" i="6"/>
  <c r="L56" i="6" s="1"/>
  <c r="H59" i="6" s="1"/>
  <c r="E48" i="5" l="1"/>
  <c r="E40" i="5"/>
  <c r="K28" i="5"/>
  <c r="K29" i="5" s="1"/>
  <c r="E28" i="5"/>
  <c r="E29" i="5" s="1"/>
  <c r="E47" i="5" s="1"/>
  <c r="K27" i="5"/>
  <c r="E27" i="5"/>
  <c r="F12" i="5"/>
  <c r="E39" i="5" l="1"/>
  <c r="E131" i="4"/>
  <c r="E132" i="4" s="1"/>
  <c r="C128" i="4"/>
  <c r="C127" i="4"/>
  <c r="C126" i="4"/>
  <c r="C124" i="4"/>
  <c r="E143" i="4" s="1"/>
  <c r="E113" i="4"/>
  <c r="H112" i="4" s="1" a="1"/>
  <c r="H112" i="4" s="1"/>
  <c r="E112" i="4"/>
  <c r="D112" i="4"/>
  <c r="G74" i="4"/>
  <c r="B97" i="4" s="1"/>
  <c r="D74" i="4"/>
  <c r="C74" i="4"/>
  <c r="B74" i="4"/>
  <c r="B16" i="4"/>
  <c r="C12" i="4" s="1"/>
  <c r="C92" i="4" l="1"/>
  <c r="B85" i="4"/>
  <c r="C97" i="4"/>
  <c r="C85" i="4"/>
  <c r="D85" i="4"/>
  <c r="C89" i="4"/>
  <c r="C91" i="4"/>
  <c r="D91" i="4"/>
  <c r="C8" i="4"/>
  <c r="D8" i="4" s="1"/>
  <c r="C10" i="4"/>
  <c r="H48" i="4" s="1"/>
  <c r="D89" i="4"/>
  <c r="C96" i="4"/>
  <c r="B94" i="4"/>
  <c r="C6" i="4"/>
  <c r="B44" i="4" s="1"/>
  <c r="B89" i="4"/>
  <c r="D96" i="4"/>
  <c r="H111" i="4" a="1"/>
  <c r="H111" i="4" s="1"/>
  <c r="E141" i="4" s="1"/>
  <c r="E145" i="4" s="1"/>
  <c r="E146" i="4" s="1"/>
  <c r="C94" i="4"/>
  <c r="D12" i="4"/>
  <c r="H50" i="4"/>
  <c r="E12" i="4"/>
  <c r="C14" i="4"/>
  <c r="H52" i="4" s="1"/>
  <c r="D92" i="4"/>
  <c r="D97" i="4"/>
  <c r="C7" i="4"/>
  <c r="C11" i="4"/>
  <c r="C13" i="4"/>
  <c r="C15" i="4"/>
  <c r="C90" i="4"/>
  <c r="B93" i="4"/>
  <c r="C95" i="4"/>
  <c r="B98" i="4"/>
  <c r="B90" i="4"/>
  <c r="B95" i="4"/>
  <c r="C9" i="4"/>
  <c r="D90" i="4"/>
  <c r="C93" i="4"/>
  <c r="D95" i="4"/>
  <c r="C98" i="4"/>
  <c r="B91" i="4"/>
  <c r="D93" i="4"/>
  <c r="B96" i="4"/>
  <c r="D98" i="4"/>
  <c r="B92" i="4"/>
  <c r="D94" i="4"/>
  <c r="B47" i="4" l="1"/>
  <c r="D10" i="4"/>
  <c r="F48" i="4"/>
  <c r="F44" i="4"/>
  <c r="E10" i="4"/>
  <c r="F50" i="4"/>
  <c r="E6" i="4"/>
  <c r="F45" i="4"/>
  <c r="D6" i="4"/>
  <c r="H44" i="4"/>
  <c r="B50" i="4"/>
  <c r="B48" i="4"/>
  <c r="G94" i="4"/>
  <c r="B53" i="4"/>
  <c r="G85" i="4"/>
  <c r="D52" i="4"/>
  <c r="B52" i="4"/>
  <c r="D48" i="4"/>
  <c r="H46" i="4"/>
  <c r="F52" i="4"/>
  <c r="D51" i="4"/>
  <c r="F46" i="4"/>
  <c r="D46" i="4"/>
  <c r="D50" i="4"/>
  <c r="B46" i="4"/>
  <c r="E8" i="4"/>
  <c r="D44" i="4"/>
  <c r="D45" i="4"/>
  <c r="D47" i="4"/>
  <c r="C16" i="4"/>
  <c r="E142" i="4"/>
  <c r="F47" i="4"/>
  <c r="H47" i="4"/>
  <c r="I52" i="4"/>
  <c r="I48" i="4"/>
  <c r="I44" i="4"/>
  <c r="E13" i="4"/>
  <c r="I50" i="4"/>
  <c r="I46" i="4"/>
  <c r="D13" i="4"/>
  <c r="I53" i="4"/>
  <c r="I49" i="4"/>
  <c r="I45" i="4"/>
  <c r="I51" i="4"/>
  <c r="I47" i="4"/>
  <c r="H51" i="4"/>
  <c r="K51" i="4"/>
  <c r="K47" i="4"/>
  <c r="K46" i="4"/>
  <c r="E15" i="4"/>
  <c r="K53" i="4"/>
  <c r="K49" i="4"/>
  <c r="K45" i="4"/>
  <c r="D15" i="4"/>
  <c r="K52" i="4"/>
  <c r="K48" i="4"/>
  <c r="K44" i="4"/>
  <c r="K50" i="4"/>
  <c r="E50" i="4"/>
  <c r="E46" i="4"/>
  <c r="E53" i="4"/>
  <c r="E49" i="4"/>
  <c r="E9" i="4"/>
  <c r="E52" i="4"/>
  <c r="E48" i="4"/>
  <c r="E44" i="4"/>
  <c r="D9" i="4"/>
  <c r="E51" i="4"/>
  <c r="E47" i="4"/>
  <c r="E45" i="4"/>
  <c r="G53" i="4"/>
  <c r="G49" i="4"/>
  <c r="G45" i="4"/>
  <c r="G52" i="4"/>
  <c r="E11" i="4"/>
  <c r="G44" i="4"/>
  <c r="G51" i="4"/>
  <c r="G47" i="4"/>
  <c r="D11" i="4"/>
  <c r="G50" i="4"/>
  <c r="G46" i="4"/>
  <c r="G48" i="4"/>
  <c r="F51" i="4"/>
  <c r="H45" i="4"/>
  <c r="F49" i="4"/>
  <c r="D49" i="4"/>
  <c r="B49" i="4"/>
  <c r="H49" i="4"/>
  <c r="B51" i="4"/>
  <c r="C51" i="4"/>
  <c r="C47" i="4"/>
  <c r="C46" i="4"/>
  <c r="C50" i="4"/>
  <c r="E7" i="4"/>
  <c r="C53" i="4"/>
  <c r="C49" i="4"/>
  <c r="C45" i="4"/>
  <c r="D7" i="4"/>
  <c r="C52" i="4"/>
  <c r="C48" i="4"/>
  <c r="C44" i="4"/>
  <c r="D14" i="4"/>
  <c r="J51" i="4"/>
  <c r="J47" i="4"/>
  <c r="J50" i="4"/>
  <c r="J46" i="4"/>
  <c r="J48" i="4"/>
  <c r="J49" i="4"/>
  <c r="J45" i="4"/>
  <c r="J52" i="4"/>
  <c r="J44" i="4"/>
  <c r="E14" i="4"/>
  <c r="J53" i="4"/>
  <c r="H53" i="4"/>
  <c r="F53" i="4"/>
  <c r="D53" i="4"/>
  <c r="C17" i="4"/>
  <c r="F15" i="4" s="1"/>
  <c r="B45" i="4"/>
  <c r="B101" i="4" l="1"/>
  <c r="D16" i="4"/>
  <c r="B22" i="4" s="1"/>
  <c r="E55" i="4"/>
  <c r="B57" i="4" s="1"/>
  <c r="E16" i="4"/>
  <c r="B32" i="4" s="1"/>
  <c r="F9" i="4"/>
  <c r="F14" i="4"/>
  <c r="F7" i="4"/>
  <c r="F12" i="4"/>
  <c r="F6" i="4"/>
  <c r="F8" i="4"/>
  <c r="F10" i="4"/>
  <c r="F11" i="4"/>
  <c r="F13" i="4"/>
  <c r="B27" i="4" l="1"/>
  <c r="F16" i="4"/>
  <c r="B38" i="4" s="1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E543" i="3"/>
  <c r="E536" i="3"/>
  <c r="E519" i="3"/>
  <c r="J503" i="3"/>
  <c r="D458" i="3"/>
  <c r="D462" i="3" s="1"/>
  <c r="C458" i="3"/>
  <c r="E457" i="3"/>
  <c r="B457" i="3"/>
  <c r="E456" i="3"/>
  <c r="B456" i="3"/>
  <c r="E455" i="3"/>
  <c r="B455" i="3"/>
  <c r="E454" i="3"/>
  <c r="B454" i="3"/>
  <c r="E453" i="3"/>
  <c r="B453" i="3"/>
  <c r="E452" i="3"/>
  <c r="B452" i="3"/>
  <c r="E451" i="3"/>
  <c r="B451" i="3"/>
  <c r="E450" i="3"/>
  <c r="B450" i="3"/>
  <c r="E449" i="3"/>
  <c r="B449" i="3"/>
  <c r="E448" i="3"/>
  <c r="B448" i="3"/>
  <c r="E447" i="3"/>
  <c r="B447" i="3"/>
  <c r="E446" i="3"/>
  <c r="B446" i="3"/>
  <c r="E445" i="3"/>
  <c r="B445" i="3"/>
  <c r="E444" i="3"/>
  <c r="B444" i="3"/>
  <c r="E443" i="3"/>
  <c r="B443" i="3"/>
  <c r="E442" i="3"/>
  <c r="B442" i="3"/>
  <c r="E441" i="3"/>
  <c r="B441" i="3"/>
  <c r="E440" i="3"/>
  <c r="B440" i="3"/>
  <c r="E439" i="3"/>
  <c r="B439" i="3"/>
  <c r="E438" i="3"/>
  <c r="B438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E378" i="3"/>
  <c r="E371" i="3"/>
  <c r="E354" i="3"/>
  <c r="J338" i="3"/>
  <c r="D293" i="3"/>
  <c r="D297" i="3" s="1"/>
  <c r="C293" i="3"/>
  <c r="E292" i="3"/>
  <c r="B292" i="3"/>
  <c r="E291" i="3"/>
  <c r="B291" i="3"/>
  <c r="E290" i="3"/>
  <c r="B290" i="3"/>
  <c r="E289" i="3"/>
  <c r="B289" i="3"/>
  <c r="E288" i="3"/>
  <c r="B288" i="3"/>
  <c r="E287" i="3"/>
  <c r="B287" i="3"/>
  <c r="E286" i="3"/>
  <c r="B286" i="3"/>
  <c r="E285" i="3"/>
  <c r="B285" i="3"/>
  <c r="E284" i="3"/>
  <c r="B284" i="3"/>
  <c r="E283" i="3"/>
  <c r="B283" i="3"/>
  <c r="E282" i="3"/>
  <c r="B282" i="3"/>
  <c r="E281" i="3"/>
  <c r="B281" i="3"/>
  <c r="E280" i="3"/>
  <c r="B280" i="3"/>
  <c r="E279" i="3"/>
  <c r="B279" i="3"/>
  <c r="E278" i="3"/>
  <c r="B278" i="3"/>
  <c r="E277" i="3"/>
  <c r="B277" i="3"/>
  <c r="E276" i="3"/>
  <c r="B276" i="3"/>
  <c r="E275" i="3"/>
  <c r="B275" i="3"/>
  <c r="E274" i="3"/>
  <c r="B274" i="3"/>
  <c r="E273" i="3"/>
  <c r="B273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E213" i="3"/>
  <c r="E206" i="3"/>
  <c r="E189" i="3"/>
  <c r="J173" i="3"/>
  <c r="D128" i="3"/>
  <c r="D130" i="3" s="1"/>
  <c r="C128" i="3"/>
  <c r="E127" i="3"/>
  <c r="B127" i="3"/>
  <c r="E126" i="3"/>
  <c r="B126" i="3"/>
  <c r="E125" i="3"/>
  <c r="B125" i="3"/>
  <c r="E124" i="3"/>
  <c r="B124" i="3"/>
  <c r="E123" i="3"/>
  <c r="B123" i="3"/>
  <c r="E122" i="3"/>
  <c r="B122" i="3"/>
  <c r="E121" i="3"/>
  <c r="B121" i="3"/>
  <c r="E120" i="3"/>
  <c r="B120" i="3"/>
  <c r="E119" i="3"/>
  <c r="B119" i="3"/>
  <c r="E118" i="3"/>
  <c r="B118" i="3"/>
  <c r="E117" i="3"/>
  <c r="B117" i="3"/>
  <c r="E116" i="3"/>
  <c r="B116" i="3"/>
  <c r="E115" i="3"/>
  <c r="B115" i="3"/>
  <c r="E114" i="3"/>
  <c r="B114" i="3"/>
  <c r="E113" i="3"/>
  <c r="B113" i="3"/>
  <c r="E112" i="3"/>
  <c r="B112" i="3"/>
  <c r="E111" i="3"/>
  <c r="B111" i="3"/>
  <c r="E110" i="3"/>
  <c r="B110" i="3"/>
  <c r="E109" i="3"/>
  <c r="B109" i="3"/>
  <c r="E108" i="3"/>
  <c r="B108" i="3"/>
  <c r="K85" i="3"/>
  <c r="E103" i="3" s="1"/>
  <c r="J85" i="3"/>
  <c r="D102" i="3" s="1"/>
  <c r="I85" i="3"/>
  <c r="C102" i="3" s="1"/>
  <c r="H85" i="3"/>
  <c r="B97" i="3" s="1"/>
  <c r="C69" i="3"/>
  <c r="C68" i="3"/>
  <c r="C67" i="3"/>
  <c r="C66" i="3"/>
  <c r="C65" i="3"/>
  <c r="C64" i="3"/>
  <c r="C59" i="3"/>
  <c r="C58" i="3"/>
  <c r="C57" i="3"/>
  <c r="C56" i="3"/>
  <c r="C55" i="3"/>
  <c r="C54" i="3"/>
  <c r="C52" i="3"/>
  <c r="E85" i="3" l="1"/>
  <c r="E90" i="3"/>
  <c r="D86" i="3"/>
  <c r="D84" i="3"/>
  <c r="D88" i="3"/>
  <c r="B458" i="3"/>
  <c r="D85" i="3"/>
  <c r="E88" i="3"/>
  <c r="E92" i="3"/>
  <c r="E293" i="3"/>
  <c r="E94" i="3"/>
  <c r="E96" i="3"/>
  <c r="C261" i="3"/>
  <c r="H224" i="3" s="1"/>
  <c r="H232" i="3" s="1"/>
  <c r="E458" i="3"/>
  <c r="D464" i="3" s="1"/>
  <c r="D465" i="3" s="1"/>
  <c r="C84" i="3"/>
  <c r="B128" i="3"/>
  <c r="E84" i="3"/>
  <c r="E86" i="3"/>
  <c r="E128" i="3"/>
  <c r="C422" i="3"/>
  <c r="H389" i="3" s="1"/>
  <c r="H397" i="3" s="1"/>
  <c r="B293" i="3"/>
  <c r="C587" i="3"/>
  <c r="H554" i="3" s="1"/>
  <c r="H562" i="3" s="1"/>
  <c r="B95" i="3"/>
  <c r="E98" i="3"/>
  <c r="E100" i="3"/>
  <c r="E102" i="3"/>
  <c r="B87" i="3"/>
  <c r="B99" i="3"/>
  <c r="C87" i="3"/>
  <c r="C89" i="3"/>
  <c r="C91" i="3"/>
  <c r="C93" i="3"/>
  <c r="C95" i="3"/>
  <c r="C97" i="3"/>
  <c r="C99" i="3"/>
  <c r="C101" i="3"/>
  <c r="C103" i="3"/>
  <c r="B93" i="3"/>
  <c r="D87" i="3"/>
  <c r="D89" i="3"/>
  <c r="D91" i="3"/>
  <c r="D93" i="3"/>
  <c r="D95" i="3"/>
  <c r="D97" i="3"/>
  <c r="D99" i="3"/>
  <c r="D101" i="3"/>
  <c r="D103" i="3"/>
  <c r="E87" i="3"/>
  <c r="E89" i="3"/>
  <c r="E91" i="3"/>
  <c r="E93" i="3"/>
  <c r="E95" i="3"/>
  <c r="E97" i="3"/>
  <c r="E99" i="3"/>
  <c r="E101" i="3"/>
  <c r="B91" i="3"/>
  <c r="B101" i="3"/>
  <c r="B85" i="3"/>
  <c r="B86" i="3"/>
  <c r="B88" i="3"/>
  <c r="B90" i="3"/>
  <c r="B92" i="3"/>
  <c r="B94" i="3"/>
  <c r="B96" i="3"/>
  <c r="B98" i="3"/>
  <c r="B100" i="3"/>
  <c r="B102" i="3"/>
  <c r="B89" i="3"/>
  <c r="B103" i="3"/>
  <c r="C85" i="3"/>
  <c r="C86" i="3"/>
  <c r="C88" i="3"/>
  <c r="C90" i="3"/>
  <c r="C92" i="3"/>
  <c r="C94" i="3"/>
  <c r="C96" i="3"/>
  <c r="C98" i="3"/>
  <c r="C100" i="3"/>
  <c r="B84" i="3"/>
  <c r="D90" i="3"/>
  <c r="D92" i="3"/>
  <c r="D94" i="3"/>
  <c r="D96" i="3"/>
  <c r="D98" i="3"/>
  <c r="D100" i="3"/>
  <c r="D132" i="3" l="1"/>
  <c r="D133" i="3" s="1"/>
  <c r="H206" i="3" s="1"/>
  <c r="G209" i="3" s="1"/>
  <c r="H231" i="3"/>
  <c r="H396" i="3"/>
  <c r="D299" i="3"/>
  <c r="D300" i="3" s="1"/>
  <c r="H319" i="3" s="1"/>
  <c r="H561" i="3"/>
  <c r="H564" i="3" s="1"/>
  <c r="G571" i="3" s="1"/>
  <c r="H487" i="3"/>
  <c r="H474" i="3"/>
  <c r="H480" i="3"/>
  <c r="H484" i="3"/>
  <c r="H479" i="3"/>
  <c r="H471" i="3"/>
  <c r="H485" i="3"/>
  <c r="H529" i="3"/>
  <c r="G532" i="3" s="1"/>
  <c r="H489" i="3"/>
  <c r="H481" i="3"/>
  <c r="H476" i="3"/>
  <c r="H565" i="3"/>
  <c r="G572" i="3" s="1"/>
  <c r="H486" i="3"/>
  <c r="H473" i="3"/>
  <c r="H543" i="3"/>
  <c r="G546" i="3" s="1"/>
  <c r="H519" i="3"/>
  <c r="G522" i="3" s="1"/>
  <c r="H483" i="3"/>
  <c r="H478" i="3"/>
  <c r="H488" i="3"/>
  <c r="H475" i="3"/>
  <c r="H536" i="3"/>
  <c r="G539" i="3" s="1"/>
  <c r="H512" i="3"/>
  <c r="G515" i="3" s="1"/>
  <c r="H490" i="3"/>
  <c r="H482" i="3"/>
  <c r="H477" i="3"/>
  <c r="H472" i="3"/>
  <c r="H371" i="3"/>
  <c r="G374" i="3" s="1"/>
  <c r="H317" i="3"/>
  <c r="H312" i="3"/>
  <c r="H322" i="3"/>
  <c r="H309" i="3"/>
  <c r="H314" i="3"/>
  <c r="H364" i="3"/>
  <c r="G367" i="3" s="1"/>
  <c r="H324" i="3"/>
  <c r="H316" i="3"/>
  <c r="H311" i="3"/>
  <c r="H321" i="3"/>
  <c r="H308" i="3"/>
  <c r="H318" i="3"/>
  <c r="H313" i="3"/>
  <c r="H323" i="3"/>
  <c r="H400" i="3"/>
  <c r="G407" i="3" s="1"/>
  <c r="H320" i="3"/>
  <c r="H315" i="3"/>
  <c r="H196" i="3" l="1"/>
  <c r="G199" i="3" s="1"/>
  <c r="H354" i="3"/>
  <c r="G357" i="3" s="1"/>
  <c r="H310" i="3"/>
  <c r="H325" i="3"/>
  <c r="J325" i="3" s="1"/>
  <c r="H307" i="3"/>
  <c r="H378" i="3"/>
  <c r="G381" i="3" s="1"/>
  <c r="H306" i="3"/>
  <c r="J306" i="3" s="1"/>
  <c r="H347" i="3"/>
  <c r="G350" i="3" s="1"/>
  <c r="H157" i="3"/>
  <c r="J157" i="3" s="1"/>
  <c r="H182" i="3"/>
  <c r="G185" i="3" s="1"/>
  <c r="H155" i="3"/>
  <c r="H145" i="3"/>
  <c r="I145" i="3" s="1"/>
  <c r="H235" i="3"/>
  <c r="G243" i="3" s="1"/>
  <c r="H142" i="3"/>
  <c r="J142" i="3" s="1"/>
  <c r="H146" i="3"/>
  <c r="I146" i="3" s="1"/>
  <c r="H152" i="3"/>
  <c r="J152" i="3" s="1"/>
  <c r="H144" i="3"/>
  <c r="I144" i="3" s="1"/>
  <c r="H141" i="3"/>
  <c r="J141" i="3" s="1"/>
  <c r="H151" i="3"/>
  <c r="I151" i="3" s="1"/>
  <c r="H158" i="3"/>
  <c r="H153" i="3"/>
  <c r="I153" i="3" s="1"/>
  <c r="H154" i="3"/>
  <c r="I154" i="3" s="1"/>
  <c r="H189" i="3"/>
  <c r="G192" i="3" s="1"/>
  <c r="H160" i="3"/>
  <c r="J160" i="3" s="1"/>
  <c r="H213" i="3"/>
  <c r="G216" i="3" s="1"/>
  <c r="H149" i="3"/>
  <c r="I149" i="3" s="1"/>
  <c r="H150" i="3"/>
  <c r="I150" i="3" s="1"/>
  <c r="H159" i="3"/>
  <c r="H148" i="3"/>
  <c r="J148" i="3" s="1"/>
  <c r="H156" i="3"/>
  <c r="J156" i="3" s="1"/>
  <c r="H143" i="3"/>
  <c r="I143" i="3" s="1"/>
  <c r="H147" i="3"/>
  <c r="J147" i="3" s="1"/>
  <c r="H234" i="3"/>
  <c r="G242" i="3" s="1"/>
  <c r="H399" i="3"/>
  <c r="G406" i="3" s="1"/>
  <c r="J311" i="3"/>
  <c r="I311" i="3"/>
  <c r="J473" i="3"/>
  <c r="I473" i="3"/>
  <c r="I471" i="3"/>
  <c r="J471" i="3"/>
  <c r="J486" i="3"/>
  <c r="I486" i="3"/>
  <c r="J324" i="3"/>
  <c r="I324" i="3"/>
  <c r="J312" i="3"/>
  <c r="I312" i="3"/>
  <c r="J145" i="3"/>
  <c r="J475" i="3"/>
  <c r="I475" i="3"/>
  <c r="I484" i="3"/>
  <c r="J484" i="3"/>
  <c r="J159" i="3"/>
  <c r="I159" i="3"/>
  <c r="J488" i="3"/>
  <c r="I488" i="3"/>
  <c r="J480" i="3"/>
  <c r="I480" i="3"/>
  <c r="I322" i="3"/>
  <c r="J322" i="3"/>
  <c r="I479" i="3"/>
  <c r="J479" i="3"/>
  <c r="J472" i="3"/>
  <c r="I472" i="3"/>
  <c r="J310" i="3"/>
  <c r="I310" i="3"/>
  <c r="I325" i="3"/>
  <c r="J158" i="3"/>
  <c r="I158" i="3"/>
  <c r="J477" i="3"/>
  <c r="I477" i="3"/>
  <c r="J478" i="3"/>
  <c r="I478" i="3"/>
  <c r="J481" i="3"/>
  <c r="I481" i="3"/>
  <c r="J474" i="3"/>
  <c r="I474" i="3"/>
  <c r="I309" i="3"/>
  <c r="J309" i="3"/>
  <c r="I155" i="3"/>
  <c r="J155" i="3"/>
  <c r="J476" i="3"/>
  <c r="I476" i="3"/>
  <c r="J307" i="3"/>
  <c r="I307" i="3"/>
  <c r="J482" i="3"/>
  <c r="I482" i="3"/>
  <c r="J483" i="3"/>
  <c r="I483" i="3"/>
  <c r="J489" i="3"/>
  <c r="I489" i="3"/>
  <c r="J487" i="3"/>
  <c r="I487" i="3"/>
  <c r="J323" i="3"/>
  <c r="I323" i="3"/>
  <c r="J313" i="3"/>
  <c r="I313" i="3"/>
  <c r="J317" i="3"/>
  <c r="I317" i="3"/>
  <c r="I315" i="3"/>
  <c r="J315" i="3"/>
  <c r="J308" i="3"/>
  <c r="I308" i="3"/>
  <c r="J314" i="3"/>
  <c r="I314" i="3"/>
  <c r="J490" i="3"/>
  <c r="I490" i="3"/>
  <c r="J316" i="3"/>
  <c r="I316" i="3"/>
  <c r="J153" i="3"/>
  <c r="J318" i="3"/>
  <c r="I318" i="3"/>
  <c r="I320" i="3"/>
  <c r="J320" i="3"/>
  <c r="J321" i="3"/>
  <c r="I321" i="3"/>
  <c r="J319" i="3"/>
  <c r="I319" i="3"/>
  <c r="J150" i="3"/>
  <c r="J485" i="3"/>
  <c r="I485" i="3"/>
  <c r="I306" i="3" l="1"/>
  <c r="I156" i="3"/>
  <c r="J154" i="3"/>
  <c r="I142" i="3"/>
  <c r="I141" i="3"/>
  <c r="J149" i="3"/>
  <c r="J143" i="3"/>
  <c r="I157" i="3"/>
  <c r="I160" i="3"/>
  <c r="I148" i="3"/>
  <c r="I147" i="3"/>
  <c r="I152" i="3"/>
  <c r="J144" i="3"/>
  <c r="J151" i="3"/>
  <c r="J146" i="3"/>
  <c r="I326" i="3"/>
  <c r="J491" i="3"/>
  <c r="D499" i="3" s="1"/>
  <c r="D506" i="3" s="1"/>
  <c r="J326" i="3"/>
  <c r="D334" i="3" s="1"/>
  <c r="D341" i="3" s="1"/>
  <c r="I491" i="3"/>
  <c r="I161" i="3" l="1"/>
  <c r="J161" i="3"/>
  <c r="D169" i="3" s="1"/>
  <c r="D176" i="3" s="1"/>
  <c r="D481" i="3"/>
  <c r="D316" i="3"/>
  <c r="E79" i="2"/>
  <c r="E78" i="2"/>
  <c r="F96" i="2" s="1" a="1"/>
  <c r="F96" i="2" s="1"/>
  <c r="D78" i="2"/>
  <c r="E77" i="2"/>
  <c r="D77" i="2"/>
  <c r="C77" i="2"/>
  <c r="D61" i="2"/>
  <c r="C61" i="2"/>
  <c r="B61" i="2"/>
  <c r="E50" i="2"/>
  <c r="D50" i="2"/>
  <c r="C50" i="2"/>
  <c r="E49" i="2"/>
  <c r="D49" i="2"/>
  <c r="C49" i="2"/>
  <c r="E48" i="2"/>
  <c r="D48" i="2"/>
  <c r="C48" i="2"/>
  <c r="E47" i="2"/>
  <c r="D47" i="2"/>
  <c r="C47" i="2"/>
  <c r="E46" i="2"/>
  <c r="D46" i="2"/>
  <c r="C46" i="2"/>
  <c r="E45" i="2"/>
  <c r="D45" i="2"/>
  <c r="C45" i="2"/>
  <c r="E44" i="2"/>
  <c r="D44" i="2"/>
  <c r="C44" i="2"/>
  <c r="E43" i="2"/>
  <c r="D43" i="2"/>
  <c r="C43" i="2"/>
  <c r="E42" i="2"/>
  <c r="D42" i="2"/>
  <c r="D51" i="2" s="1"/>
  <c r="D52" i="2" s="1"/>
  <c r="C42" i="2"/>
  <c r="E41" i="2"/>
  <c r="D41" i="2"/>
  <c r="C41" i="2"/>
  <c r="E18" i="2"/>
  <c r="D18" i="2"/>
  <c r="C18" i="2"/>
  <c r="E20" i="2" s="1"/>
  <c r="B29" i="2" s="1"/>
  <c r="D151" i="3" l="1"/>
  <c r="C29" i="2"/>
  <c r="C51" i="2"/>
  <c r="C52" i="2" s="1"/>
  <c r="H52" i="2" s="1"/>
  <c r="F95" i="2" a="1"/>
  <c r="F95" i="2" s="1"/>
  <c r="E51" i="2"/>
  <c r="E52" i="2" s="1"/>
  <c r="F100" i="2"/>
  <c r="F104" i="2" s="1"/>
  <c r="F94" i="2" a="1"/>
  <c r="F94" i="2" s="1"/>
  <c r="D29" i="2"/>
  <c r="F98" i="2" s="1"/>
  <c r="D53" i="2" l="1"/>
  <c r="D54" i="2" s="1"/>
  <c r="E53" i="2"/>
  <c r="E54" i="2" s="1"/>
  <c r="F102" i="2"/>
  <c r="C53" i="2"/>
  <c r="C54" i="2" s="1"/>
  <c r="H54" i="2" l="1"/>
  <c r="C56" i="2" s="1"/>
  <c r="D56" i="2" l="1"/>
  <c r="E56" i="2"/>
  <c r="F99" i="2" l="1"/>
  <c r="F103" i="2" s="1"/>
</calcChain>
</file>

<file path=xl/sharedStrings.xml><?xml version="1.0" encoding="utf-8"?>
<sst xmlns="http://schemas.openxmlformats.org/spreadsheetml/2006/main" count="1435" uniqueCount="878">
  <si>
    <t>Задача: рассматривается инвестиционный портфель, в который входят 3 актива.</t>
  </si>
  <si>
    <t>По каждому активу имеются статистические данные о его доходности за 10 периодов.</t>
  </si>
  <si>
    <t xml:space="preserve">Определить структуру портфеля при агрессивном, пассивном и компромисном подходе, </t>
  </si>
  <si>
    <t>оценить ожидаемый доход, погрешность и VaR.</t>
  </si>
  <si>
    <t>Х1</t>
  </si>
  <si>
    <t>Х2</t>
  </si>
  <si>
    <t>Х3</t>
  </si>
  <si>
    <t>mean</t>
  </si>
  <si>
    <t>sum(x1mean; x2mean; x3mean)</t>
  </si>
  <si>
    <t>Фобр(0,95)</t>
  </si>
  <si>
    <t>1). Агрессивный подход</t>
  </si>
  <si>
    <t>f1</t>
  </si>
  <si>
    <t>f2</t>
  </si>
  <si>
    <t>f3</t>
  </si>
  <si>
    <t>2). Пассивный подход</t>
  </si>
  <si>
    <t>Мера рискованности актива</t>
  </si>
  <si>
    <t>Мера безрискованности актива</t>
  </si>
  <si>
    <t>Х1^2</t>
  </si>
  <si>
    <t>Х2^2</t>
  </si>
  <si>
    <t>Х3^2</t>
  </si>
  <si>
    <t>Доля актива в портфеле</t>
  </si>
  <si>
    <t>sigma</t>
  </si>
  <si>
    <t>sum</t>
  </si>
  <si>
    <t>fi*</t>
  </si>
  <si>
    <t>fi**</t>
  </si>
  <si>
    <t>fi</t>
  </si>
  <si>
    <t>3). Компромиссный подход</t>
  </si>
  <si>
    <t>fi=1/nактивов</t>
  </si>
  <si>
    <t>Ковариационная матрица</t>
  </si>
  <si>
    <t>n=3, m=10, Фобр(0,95)=1,96</t>
  </si>
  <si>
    <t>x1</t>
  </si>
  <si>
    <t>x2</t>
  </si>
  <si>
    <t>x3</t>
  </si>
  <si>
    <t>sx12</t>
  </si>
  <si>
    <t>covx1x2</t>
  </si>
  <si>
    <t>sx22</t>
  </si>
  <si>
    <t>covx3x1</t>
  </si>
  <si>
    <t>covx3x2</t>
  </si>
  <si>
    <t>sx32</t>
  </si>
  <si>
    <t>f act</t>
  </si>
  <si>
    <t>fpas</t>
  </si>
  <si>
    <t>fcom</t>
  </si>
  <si>
    <t>f pas</t>
  </si>
  <si>
    <t>f com</t>
  </si>
  <si>
    <t>sigma1(act)</t>
  </si>
  <si>
    <t>sigma2(pas)</t>
  </si>
  <si>
    <t>sigma3(com)</t>
  </si>
  <si>
    <t>m1(act)</t>
  </si>
  <si>
    <t>m2(pas)</t>
  </si>
  <si>
    <t>m3(com)</t>
  </si>
  <si>
    <t>VaR(0,95) 1 act</t>
  </si>
  <si>
    <t>VaR(0,95) 2 pas</t>
  </si>
  <si>
    <t>VaR(0,95) 3 com</t>
  </si>
  <si>
    <t>ВЫВОД:</t>
  </si>
  <si>
    <t>1. При агрессивном подходе 25,76% в портфеле займет актив Х1, 34,68% займет актив Х2, 39,56% займет актив Х3.</t>
  </si>
  <si>
    <t>Ожидаемый доход составит 14,05%, погрешность 4,25%.</t>
  </si>
  <si>
    <t>С вероятностью 0,95 доход не превысит 22,37%.</t>
  </si>
  <si>
    <t>2. При пассивном подходе 37,28% в портфеле займет актив Х1, 30,38% займет актив Х2, 32,34% займет актив Х3.</t>
  </si>
  <si>
    <t>Ожидаемый доход составит 13,49%, погрешность 4,00%.</t>
  </si>
  <si>
    <t>С вероятностью 0,95 доход не превысит 21,32%.</t>
  </si>
  <si>
    <t>3. При компромиссном подходе, доля каждого актива в портфеле составит 33,33%</t>
  </si>
  <si>
    <t>Ожидаемый доход составит 13,65%, погрешность 4,06%.</t>
  </si>
  <si>
    <t>С вероятностью 0,95 доход не превысит 21,62%.</t>
  </si>
  <si>
    <t>Корреляционный и регрессионный анализ</t>
  </si>
  <si>
    <t>Пусть рассматривается прибыль предприятия (у) за период времени, в зависимости от факторов.</t>
  </si>
  <si>
    <t>Х1-продажная стоимость продукции, руб.</t>
  </si>
  <si>
    <t>Х2-объем продаж, уе.</t>
  </si>
  <si>
    <t>Х3-стоимость акций компании, руб.</t>
  </si>
  <si>
    <t>Задача: на основе совокупности риск-факторов построить адекватную прогнозную модель прибыли, осуществить прогноз</t>
  </si>
  <si>
    <t>У</t>
  </si>
  <si>
    <t>1.Построим корреляционную матрицу Ar</t>
  </si>
  <si>
    <t>2.На основании критерия Фишера определим значимость коэф. парной корреляции, построим матрицу значимости.</t>
  </si>
  <si>
    <t>Fоп&gt;Fкр=&gt;значим</t>
  </si>
  <si>
    <t>Fоп&lt;Fкр=&gt; незначим</t>
  </si>
  <si>
    <t>Fкр=F(a; n-m-1; m)</t>
  </si>
  <si>
    <t>a</t>
  </si>
  <si>
    <t>m</t>
  </si>
  <si>
    <t>зн</t>
  </si>
  <si>
    <t>n</t>
  </si>
  <si>
    <t>Fкр</t>
  </si>
  <si>
    <t>Fx1y</t>
  </si>
  <si>
    <t>Fx2y</t>
  </si>
  <si>
    <t>Fx3y</t>
  </si>
  <si>
    <t>Значимо на У влияют все факторы</t>
  </si>
  <si>
    <t>Fx2x1</t>
  </si>
  <si>
    <t>Корреляция между всеми факторами значима, их нельзя включить вместе в одну модель</t>
  </si>
  <si>
    <t>Fx3x1</t>
  </si>
  <si>
    <t>Fx3x2</t>
  </si>
  <si>
    <t>3.Анализ показателей детерминации</t>
  </si>
  <si>
    <t>d=r^2</t>
  </si>
  <si>
    <t>d(x1;y)</t>
  </si>
  <si>
    <t xml:space="preserve">Изменение объема прибыли на 96% объясняется изменением продажной стоимости </t>
  </si>
  <si>
    <t>d(x2;y)</t>
  </si>
  <si>
    <t>Изменение объема прибыли на 98% объясняется изменением объема продаж</t>
  </si>
  <si>
    <t>d(x3;y)</t>
  </si>
  <si>
    <t>Изменение объемо прибыли на 87% объясняется изменением стоимости акций компании</t>
  </si>
  <si>
    <t>d(x1;x2)</t>
  </si>
  <si>
    <t>Изменение продажной стоимости на 95% объясняется изменением объема продаж</t>
  </si>
  <si>
    <t>d(x1;x3)</t>
  </si>
  <si>
    <t>Изменение продажной стоимости на 77% объясняется изменением стоимости акций</t>
  </si>
  <si>
    <t>d(x2;x3)</t>
  </si>
  <si>
    <t>Изменение объема продаж на 81% объясняется изменением стоимости акций</t>
  </si>
  <si>
    <t>4.Отбор факторов в модель</t>
  </si>
  <si>
    <t>Строим 3 модели:</t>
  </si>
  <si>
    <t>Ymod1=f1(x1)</t>
  </si>
  <si>
    <t>Ymod2=f2(x2)</t>
  </si>
  <si>
    <t>Ymod3=f3(x3)</t>
  </si>
  <si>
    <t>Перед построением моделей, проведем процедуру стандартизации</t>
  </si>
  <si>
    <t>Хстанд=Х/Xmax</t>
  </si>
  <si>
    <t>Ymax</t>
  </si>
  <si>
    <t>X1max</t>
  </si>
  <si>
    <t>X2max</t>
  </si>
  <si>
    <t>X3max</t>
  </si>
  <si>
    <t>5.1. Строим модель 1</t>
  </si>
  <si>
    <t>х1*у</t>
  </si>
  <si>
    <t>(x1)^2</t>
  </si>
  <si>
    <t>ymod1=a1*x1+b1</t>
  </si>
  <si>
    <t>→</t>
  </si>
  <si>
    <t>a1=((x*y)ср-(хср*уср))/((х^2ср)-(хср)^2)</t>
  </si>
  <si>
    <t>∑(y*x1)=a1*∑(x1^2)+b1*∑(x1)</t>
  </si>
  <si>
    <t>b1=(yср)-а1*(хср)</t>
  </si>
  <si>
    <t>∑(y)=a1*∑(x1)+b1*n</t>
  </si>
  <si>
    <t>(x1ср)^2</t>
  </si>
  <si>
    <t>a1</t>
  </si>
  <si>
    <t>b1</t>
  </si>
  <si>
    <t>ymod1=1,58*x1-0,59</t>
  </si>
  <si>
    <t>6.1. Качество модели 1</t>
  </si>
  <si>
    <t>а). Значимость модели по критерию Фишера</t>
  </si>
  <si>
    <t>ymodi</t>
  </si>
  <si>
    <t>(ymodi-ymean)^2</t>
  </si>
  <si>
    <t>(ymodi-yi)^2</t>
  </si>
  <si>
    <t>m=1</t>
  </si>
  <si>
    <t>n=20</t>
  </si>
  <si>
    <t>Fоп</t>
  </si>
  <si>
    <t>Модель значима</t>
  </si>
  <si>
    <t>б).</t>
  </si>
  <si>
    <t>сигма ост</t>
  </si>
  <si>
    <t>Прогнозное значение прибыли отличается от фактического в среднем на 0,03 руб.</t>
  </si>
  <si>
    <t>в).</t>
  </si>
  <si>
    <t>дисперсия y</t>
  </si>
  <si>
    <t>nкв</t>
  </si>
  <si>
    <t>Модель точна на 96%</t>
  </si>
  <si>
    <t>7.1.Прогноз для модели 1</t>
  </si>
  <si>
    <t>ymod1=1,59*x1-0,60</t>
  </si>
  <si>
    <t>1). X1mean</t>
  </si>
  <si>
    <t>ymod1(x1mean)</t>
  </si>
  <si>
    <t>Дестандартизация</t>
  </si>
  <si>
    <t>ymod1(x1mean)*ymax</t>
  </si>
  <si>
    <t>Если предприятие будет продавать продукцию по средней цене, то прогнозируемая прибыль составит 713,91 руб</t>
  </si>
  <si>
    <t>2). X1mean-Sx</t>
  </si>
  <si>
    <t>Sx</t>
  </si>
  <si>
    <t>ymod1(x1mean-Sx)</t>
  </si>
  <si>
    <t>ymod1(X1mean-Sx)*ymax</t>
  </si>
  <si>
    <t>Если предприятие будет продавать продукцию по цене меньшей средней на стандартное отклонение, то прогнозируемая прибыль составит 555,24 руб</t>
  </si>
  <si>
    <t>3). X1mean+Sx</t>
  </si>
  <si>
    <t>ymod1(x1mean+Sx)</t>
  </si>
  <si>
    <t>ymod1(X1mean+Sx)*ymax</t>
  </si>
  <si>
    <t>Если предприятие будет продавать продукцию по цене большей средней на стандартное отклонение, то прогнозируемая прибыль составит 872,59 руб</t>
  </si>
  <si>
    <t>4). Xmin-Sx</t>
  </si>
  <si>
    <t>x1min</t>
  </si>
  <si>
    <t>ymod(x1min-Sx)</t>
  </si>
  <si>
    <t>ymod1(X1min-Sx)*ymax</t>
  </si>
  <si>
    <t>Если предприятие будет продавать продукцию по цене меньше минимальной на стандартное отклонение, то прогнозируемая прибыль составит 316,85 руб</t>
  </si>
  <si>
    <t>5). Xmax+Sx</t>
  </si>
  <si>
    <t>x1max</t>
  </si>
  <si>
    <t>ymod(x1max+Sx)</t>
  </si>
  <si>
    <t>ymod1(X1max+Sx)*ymax</t>
  </si>
  <si>
    <t>Если предприятие будет продавать продукцию по цене большей максимальной на стандартное отклонение, то прогнозируемая прибыль составит 1134,42 руб</t>
  </si>
  <si>
    <t>6).</t>
  </si>
  <si>
    <t>ср абс прирост</t>
  </si>
  <si>
    <t>Xprog21=X20+ср абс прирост</t>
  </si>
  <si>
    <t>Xprog22=X20+2*ср абс прирост</t>
  </si>
  <si>
    <t>xprog21</t>
  </si>
  <si>
    <t>xprog22</t>
  </si>
  <si>
    <t>ymod(xprog21)</t>
  </si>
  <si>
    <t>ymod(xprog22)</t>
  </si>
  <si>
    <t>ymod(xprog21)*ymax</t>
  </si>
  <si>
    <t>ymod(xprog22)*ymax</t>
  </si>
  <si>
    <t>В 21 временной интервал прогнозируемая прибыль составит 1002,08 руб, а в 22-ой она прогнозируемая прибыль составит 1028,40руб</t>
  </si>
  <si>
    <t>5.2. Строим модель 2</t>
  </si>
  <si>
    <t>ymod2=a2*x2+b2</t>
  </si>
  <si>
    <t>∑(y*x2)=a2*∑(x2^2)+b2*∑(x2)</t>
  </si>
  <si>
    <t>a2=((x*y)ср-(хср*уср))/((х^2ср)-(хср)^2)</t>
  </si>
  <si>
    <t>∑(y)=a2*∑(x2)+b2*n</t>
  </si>
  <si>
    <t>b2=(yср)-а2*(хср)</t>
  </si>
  <si>
    <t>х2*у</t>
  </si>
  <si>
    <t>(x2)^2</t>
  </si>
  <si>
    <t>a2</t>
  </si>
  <si>
    <t>b2</t>
  </si>
  <si>
    <t>ymod2=0,89*x2+0,07</t>
  </si>
  <si>
    <t>6.2. Качество модели 2</t>
  </si>
  <si>
    <t>Прогнозное значение прибыли отличается от фактического в среднем на 0,02 руб.</t>
  </si>
  <si>
    <t>Модель точна на 98%</t>
  </si>
  <si>
    <t>7.2.Прогноз для модели 2</t>
  </si>
  <si>
    <t>1). X2mean</t>
  </si>
  <si>
    <t>ymod2(x2mean)</t>
  </si>
  <si>
    <t>ymod2(x1mean)*ymax</t>
  </si>
  <si>
    <t>Если предприятие будет продавать продукцию в объеме равном среднему, то прогнозируемая прибыль составит 713,91 руб</t>
  </si>
  <si>
    <t>2). X2mean-Sx</t>
  </si>
  <si>
    <t>ymod2(x2mean-Sx)</t>
  </si>
  <si>
    <t>ymod2(X2mean-Sx)*ymax</t>
  </si>
  <si>
    <t>Если предприятие будет продавать продукцию в объеме меньшим среднего на стандартное отклонение, то прогнозируемая прибыль составит 553,96 руб</t>
  </si>
  <si>
    <t>3). X2mean+Sx</t>
  </si>
  <si>
    <t>ymod2(x2mean+Sx)</t>
  </si>
  <si>
    <t>ymod2(X2mean+Sx)*ymax</t>
  </si>
  <si>
    <t>Если предприятие будет продавать продукцию в объеме большим среднего на стандартное отклонение, то прогнозируемая прибыль составит 873,86 руб</t>
  </si>
  <si>
    <t>4). X2min-Sx</t>
  </si>
  <si>
    <t>x2min</t>
  </si>
  <si>
    <t>ymod2(x2min-Sx)</t>
  </si>
  <si>
    <t>ymod2(X2min-Sx)*ymax</t>
  </si>
  <si>
    <t>Если предприятие будет продавать продукцию в объеме меньшим минимального на стандартное отклонение, то прогнозируемая прибыль составит 331,37 руб</t>
  </si>
  <si>
    <t>5). X2max+Sx</t>
  </si>
  <si>
    <t>x2max</t>
  </si>
  <si>
    <t>ymod2(x2max+Sx)</t>
  </si>
  <si>
    <t>ymod2(X2max+Sx)*ymax</t>
  </si>
  <si>
    <t>Если предприятие будет продавать продукцию в объеме большим максимального на стандартное отклонение, то прогнозируемая прибыль составит 1107,87 руб</t>
  </si>
  <si>
    <t>В 21 временной интервал прогнозируемая прибыль составит 971,95 руб, а в 22-ой она составит 995,99руб</t>
  </si>
  <si>
    <t>5.3. Строим модель 3</t>
  </si>
  <si>
    <t>ymod3=a3*x3+b3</t>
  </si>
  <si>
    <t>∑(y*x3)=a3*∑(x3^2)+b3*∑(x3)</t>
  </si>
  <si>
    <t>a3=((x*y)ср-(хср*уср))/((х^2ср)-(хср)^2)</t>
  </si>
  <si>
    <t>∑(y)=a3*∑(x3)+b3*n</t>
  </si>
  <si>
    <t>b3=(yср)-а2*(хср)</t>
  </si>
  <si>
    <t>a3</t>
  </si>
  <si>
    <t>b3</t>
  </si>
  <si>
    <t>ymod3=2,34*x3-1,33</t>
  </si>
  <si>
    <t>6.3. Качество модели 3</t>
  </si>
  <si>
    <t>Прогнозное значение прибыли отличается от фактического в среднем на 0,06 руб.</t>
  </si>
  <si>
    <t>Модель точна на 85%</t>
  </si>
  <si>
    <t>7.3.Прогноз для модели 3</t>
  </si>
  <si>
    <t>1). X3mean</t>
  </si>
  <si>
    <t>ymod3(x3mean)</t>
  </si>
  <si>
    <t>ymod3(x3mean)*ymax</t>
  </si>
  <si>
    <t>Если предприятие акции предприятия будут иметь среднюю стоимость, то прогнозируемая прибыль составит 713,91 руб</t>
  </si>
  <si>
    <t>2). X3mean-Sx</t>
  </si>
  <si>
    <t>ymod3(x3mean-Sx)</t>
  </si>
  <si>
    <t>ymod3(X3mean-Sx)*ymax</t>
  </si>
  <si>
    <t>Если акции предприятия будут иметь стоимость меньше средней на стандартное отклонение, то прогнозируемая прибыль составит 563,71 руб</t>
  </si>
  <si>
    <t>3). X3mean+Sx</t>
  </si>
  <si>
    <t>ymod3(x3mean+Sx)</t>
  </si>
  <si>
    <t>ymod3(X3mean+Sx)*ymax</t>
  </si>
  <si>
    <t>Если акции предприятия будут иметь стоимость больше средней на стандартное отклонение, то прогнозируемая прибыль составит 864,12 руб</t>
  </si>
  <si>
    <t>4). X3min-Sx</t>
  </si>
  <si>
    <t>x3min</t>
  </si>
  <si>
    <t>ymod3(x3min-Sx)</t>
  </si>
  <si>
    <t>ymod3(X3min-Sx)*ymax</t>
  </si>
  <si>
    <t>Если акции предприятия будут иметь стоимость меньше минимальной на стандартное отклонение, то прогнозируемая прибыль составит 345,96 руб</t>
  </si>
  <si>
    <t>5). X3max+Sx</t>
  </si>
  <si>
    <t>x3max</t>
  </si>
  <si>
    <t>ymod3(x3max+Sx)</t>
  </si>
  <si>
    <t>ymod3(X3max+Sx)*ymax</t>
  </si>
  <si>
    <t>Если акции предприятия будут иметь стоимость больше максимальной на стандартное отклонение, то прогнозируемая прибыль составит 1156,00 руб</t>
  </si>
  <si>
    <t>В 21 временной интервал прогнозируемая прибыль составит 1008,23 руб, а в 22-ой она составит 1033,84 руб</t>
  </si>
  <si>
    <t>1. Предприятие работает с 10 отраслями, выпуская продукцию в заданном объеме.</t>
  </si>
  <si>
    <t>Задача:оценить показатели диверсификации производства</t>
  </si>
  <si>
    <t>Номер отрасли</t>
  </si>
  <si>
    <t>Объем, кг</t>
  </si>
  <si>
    <t>pi(yi)</t>
  </si>
  <si>
    <t>pi^2</t>
  </si>
  <si>
    <t>pi*ln(1/pi)</t>
  </si>
  <si>
    <t>(pi-pmean)^2</t>
  </si>
  <si>
    <t xml:space="preserve">где pi-доля выпуска отрасли </t>
  </si>
  <si>
    <t>от всего выпуска</t>
  </si>
  <si>
    <t>SUM</t>
  </si>
  <si>
    <t>MEAN</t>
  </si>
  <si>
    <t>1). Индекс количественного эквивалента</t>
  </si>
  <si>
    <t>ИКЭ</t>
  </si>
  <si>
    <t>Из 10 заявленных отраслей предприятие работает по 8; высокая степень диверсификации</t>
  </si>
  <si>
    <t>2). Индекс Херфендаля-Хиршмана</t>
  </si>
  <si>
    <t>H</t>
  </si>
  <si>
    <t>Высокая степень диверсификации</t>
  </si>
  <si>
    <t>3). Индекс энтропии</t>
  </si>
  <si>
    <t>E</t>
  </si>
  <si>
    <t>Показатель больше 1;высокая степень диверсификации</t>
  </si>
  <si>
    <t>4). Среднеквадратическое отклонение участия</t>
  </si>
  <si>
    <t>σ(p)</t>
  </si>
  <si>
    <t>В среднем доля участия отклоняется от средней доли участия на 0,051; высокая степень диверсификации</t>
  </si>
  <si>
    <t>5). Индекс Джини</t>
  </si>
  <si>
    <t>G</t>
  </si>
  <si>
    <t>Стремится к 0; высокая степень диверсификации</t>
  </si>
  <si>
    <t>2. Рассмотрим инвестиционный портфель, состоящий из 3-ех активов. По каждому активу имеется 10 наблюдений об их доходности.</t>
  </si>
  <si>
    <t>Задача: оценить степень диверсификации данного портфеля</t>
  </si>
  <si>
    <t>n=30</t>
  </si>
  <si>
    <t>m=3</t>
  </si>
  <si>
    <t>k=10</t>
  </si>
  <si>
    <t>Xmean</t>
  </si>
  <si>
    <t>1). Степень рассеянности</t>
  </si>
  <si>
    <t>(ximean-Xmean)^2</t>
  </si>
  <si>
    <t>(xj-Xmean)^2</t>
  </si>
  <si>
    <t>σр</t>
  </si>
  <si>
    <t>Стремится к 0; низкая степень диверсификации</t>
  </si>
  <si>
    <t>2). Корреляционный анализ</t>
  </si>
  <si>
    <t>Построим корреляционную матрицу Ar</t>
  </si>
  <si>
    <t>det</t>
  </si>
  <si>
    <t>det11</t>
  </si>
  <si>
    <t>На основании критерия Фишера определим значимость коэф. парной корреляции, построим матрицу значимости.</t>
  </si>
  <si>
    <t>Fкр=F(a; m; n-m-1)</t>
  </si>
  <si>
    <t>а=0,05</t>
  </si>
  <si>
    <t>Fкрит</t>
  </si>
  <si>
    <t>нз</t>
  </si>
  <si>
    <t>Fx1x2</t>
  </si>
  <si>
    <t>Так как значима только связь между активами Х1 и Х3, рассчитаем детерминацию межу ними</t>
  </si>
  <si>
    <t>диверсиф=1-d</t>
  </si>
  <si>
    <t xml:space="preserve">диверсиф </t>
  </si>
  <si>
    <t>Корреляция между активами х1 и х2, х2 и х3 стремится к нулю, что говорит о высокой степени диверсификации</t>
  </si>
  <si>
    <t>Корреляция между активами х1 и х3 составила 0,508 и оказалась значимой, при этом диверсификация составила 0,742</t>
  </si>
  <si>
    <t>Рассчитаем коэф множественной корелляции</t>
  </si>
  <si>
    <t>R</t>
  </si>
  <si>
    <t>Foп</t>
  </si>
  <si>
    <t>D=R^2</t>
  </si>
  <si>
    <t>D</t>
  </si>
  <si>
    <t>диверсиф=1-D</t>
  </si>
  <si>
    <t>диверсиф</t>
  </si>
  <si>
    <t>Активы коррелируют между собой (R=0,524 ЗН), при этом диверсификация составила 0,725</t>
  </si>
  <si>
    <t xml:space="preserve">1. Пусть доля секъюритизированных активов (Rs) составила 80%, при этом доля реинвестируемых активов (Rr) составила 65% . </t>
  </si>
  <si>
    <t>Процесс секъюритизации длился 2 года (n) при среднегодовых темпах инфляции (i) 4%. Сделать выводы о результатах секъюритизации.</t>
  </si>
  <si>
    <t>Rs</t>
  </si>
  <si>
    <t>Rr</t>
  </si>
  <si>
    <t>i</t>
  </si>
  <si>
    <t>ms</t>
  </si>
  <si>
    <t>Мультипликатор секъюритизации (ms) составил 1,9259, что является хорошим показателем.</t>
  </si>
  <si>
    <t>2. Рассмотрим 2 совокупности активов до и после секъюритизации. Будем анализировать эти совокупности по 2-ум показателям:</t>
  </si>
  <si>
    <t>доходность и рискованность. Дать рекомендации о необходимости процедуры секъюритизации.</t>
  </si>
  <si>
    <t>Активы до секъюритизации</t>
  </si>
  <si>
    <t>Активы после секъюритизации</t>
  </si>
  <si>
    <t>Доходность Х</t>
  </si>
  <si>
    <t>Доходность У</t>
  </si>
  <si>
    <t>nx</t>
  </si>
  <si>
    <t>ny</t>
  </si>
  <si>
    <t>xmean</t>
  </si>
  <si>
    <t>ymean</t>
  </si>
  <si>
    <t>Sy</t>
  </si>
  <si>
    <t>Sx^2</t>
  </si>
  <si>
    <t>Sy^2</t>
  </si>
  <si>
    <t>1). Доходность</t>
  </si>
  <si>
    <t>Топ&gt;Tкрит -- есть изменение</t>
  </si>
  <si>
    <t>Tкрит=Т(а; ny+nx-2)</t>
  </si>
  <si>
    <t>Tоп</t>
  </si>
  <si>
    <t>Топ&gt;Tкрит -- изменения доходности есть</t>
  </si>
  <si>
    <t>Ткрит</t>
  </si>
  <si>
    <t>2). Рискованность</t>
  </si>
  <si>
    <t>Fоп&gt;Fкрит-- есть изменение</t>
  </si>
  <si>
    <t>Fкрит=F(a; nбольшее-1; nменьшее-1)</t>
  </si>
  <si>
    <t>Fоп&lt;Fкрит -- изменения рискованности нет</t>
  </si>
  <si>
    <t>Т.к произойдет увелечиние средней доходности при неизменном уровне рискованности, секъюритизацию можно рекомндовать.</t>
  </si>
  <si>
    <t>1.Хозяйствующий субъект предполагает покупку актива по заданной (текущей) цене равной 100 д.е через 3 года при прогнозе ее роста на 10%.  Стоимость хеджирования составляет 20 у.е.</t>
  </si>
  <si>
    <t>Определить: эффективность хеджирования.</t>
  </si>
  <si>
    <t>PV</t>
  </si>
  <si>
    <t>PV – текущая стоимость актива, FV – будущая стоимость актива, i – темп прироста актива, n – количество периодов временного лага</t>
  </si>
  <si>
    <t xml:space="preserve"> U – затраты хеджера, Δ – стоимость хеджирования (плата за хеджирование). </t>
  </si>
  <si>
    <t>Кабс, Котн – показатели абсолютной и относительной эффективности хеджирования.</t>
  </si>
  <si>
    <t>Δ</t>
  </si>
  <si>
    <t>FV</t>
  </si>
  <si>
    <t>U</t>
  </si>
  <si>
    <t>Kабс</t>
  </si>
  <si>
    <t>Будущая стоимость больше затрат хеджера на 13,10 у.е</t>
  </si>
  <si>
    <t>Котн</t>
  </si>
  <si>
    <t>Будущая стоимость больше затрат хеджера в 1,109 раза</t>
  </si>
  <si>
    <t>2. Хозяйствующий субъект предполагает продажу актива по заданной (текущей) цене равнеой 150 д.е  через 2 года при прогнозе ее снижения на 13%. Стоимость хеджирования составляет 25 у.е.</t>
  </si>
  <si>
    <t>Затраты хеджера больше будущей стоимости на 7,53 у.е</t>
  </si>
  <si>
    <t>Затраты хеджера больше будущей стоимости в 1,064 раза</t>
  </si>
  <si>
    <t>3.Имеется статистическая совокупность данных, характеризующая стоимость актива в течение 15 периодов времени и вероятность (α=0,95) того, что стоимость актива не превысит некоторую величину.</t>
  </si>
  <si>
    <t>Найти: пороговое значение стоимости актива, выше которого хеджирование не имеет смысла с заданной изначально вероятностью.</t>
  </si>
  <si>
    <t>Х</t>
  </si>
  <si>
    <t>1). Проверим гипотезу о нормальном распределении данной выборки</t>
  </si>
  <si>
    <t>xmax</t>
  </si>
  <si>
    <t>xmin</t>
  </si>
  <si>
    <t>lg(n)</t>
  </si>
  <si>
    <t>delta x=(xmax-xmin)/(1+3,3*lg(n))</t>
  </si>
  <si>
    <t>delta x</t>
  </si>
  <si>
    <t>нач инт</t>
  </si>
  <si>
    <t>кон инт</t>
  </si>
  <si>
    <t>ni</t>
  </si>
  <si>
    <t>pi</t>
  </si>
  <si>
    <t>ni sh</t>
  </si>
  <si>
    <t>((ni-ni sh)^2)/(ni)</t>
  </si>
  <si>
    <t>l</t>
  </si>
  <si>
    <t>hi оп</t>
  </si>
  <si>
    <t>hiоп&lt;hiкрит</t>
  </si>
  <si>
    <t>k</t>
  </si>
  <si>
    <t>hi крит</t>
  </si>
  <si>
    <t>Закон распределения выбран правильно</t>
  </si>
  <si>
    <t>mu=xmean</t>
  </si>
  <si>
    <t>Фобр(0,95)=1,96</t>
  </si>
  <si>
    <t>(s*-mu)/Sx=1,96</t>
  </si>
  <si>
    <t>s*=1,96*Sx+mu</t>
  </si>
  <si>
    <t>s*</t>
  </si>
  <si>
    <t>Пороговое значение стоимости актива, выше которого хеджирование не имеет смысла с вероятностью 0,95 составляет 84,45 у.е</t>
  </si>
  <si>
    <t>4.Имеется статистическая совокупность данных, характеризующая стоимость актива в течение 15 периодов времени и вероятность (а=0,95) того, что стоимость актива не станет меньше некоторой величины.</t>
  </si>
  <si>
    <t>Найти: пороговое значение стоимости актива, ниже которого хеджирование не имеет смысла с заданной изначально вероятностью.</t>
  </si>
  <si>
    <t>Фобр(1-0,95)=-1,64</t>
  </si>
  <si>
    <t>(s*-mu)/(Sx)=-1,64</t>
  </si>
  <si>
    <t>s*=(-1,64)*Sx+mu</t>
  </si>
  <si>
    <t>Пороговое значение стоимости актива, ниже которого хеджирование не имеет смысла с вероятностью 0,95 составляет 47,00 у.е</t>
  </si>
  <si>
    <t>Агапов М.Я. ЭКМ-3,4 Срахование</t>
  </si>
  <si>
    <t>1. Предприятие желает заключить договор страхования предпринимательского риска, связанного с претензиями потребителей по поводу бракованной продукции.</t>
  </si>
  <si>
    <t>Вероятность брака на 1 производственной линии 5%, на второй 10%, на третьей 15%.</t>
  </si>
  <si>
    <t>Изделия от всех трех линий поступают в один контейнер в объемах 1000, 1500 и 2000 от каждой производственной линии соответственно.</t>
  </si>
  <si>
    <t>Найти:</t>
  </si>
  <si>
    <t>1). Вероятность того, что случайное издели из контейнера бракованное</t>
  </si>
  <si>
    <t>2). Страховую премию по договору, если страховая сумма равна 1000 д.е, а предел ответственности 15%.</t>
  </si>
  <si>
    <t>q</t>
  </si>
  <si>
    <t>v</t>
  </si>
  <si>
    <t>(Bi)pi</t>
  </si>
  <si>
    <t>Вероятность, что изделие в контейнере от i-ой производственной линии.</t>
  </si>
  <si>
    <t>P(A)</t>
  </si>
  <si>
    <t>Вероятность того, что случайное изделие в конейнере бракованное составляет 11,11%.</t>
  </si>
  <si>
    <t>Страховая премия</t>
  </si>
  <si>
    <t>Страховая премия составит 16,67 у.е</t>
  </si>
  <si>
    <t>2. Фирма желает застраховать риск невозврата товарного кредита, которые предоставляют клиентам 4 ее филиала.</t>
  </si>
  <si>
    <t>Первый филиал заключил 1300 договоров, из них по 195 кредит не был возвращен.</t>
  </si>
  <si>
    <t>Второй филиал заключил 4200 договоров, из них по 420 кредит не был возвращен.</t>
  </si>
  <si>
    <t>Третий филиал заключил 500 договоров, из них по 100 кредит не был возвращен.</t>
  </si>
  <si>
    <t>Четвертый филиал заключил 2000 договоров, из них по 260 кредит не был возвращен.</t>
  </si>
  <si>
    <t>1). Какой филиал вероятнее всего имеет дело с рисками невозврата товарного кредита</t>
  </si>
  <si>
    <t>2). Страховую премию по договору страхования риска, если страховая сумма равна 1500 д.е, а предел ответсвенности 50%</t>
  </si>
  <si>
    <t>v(невозврата)</t>
  </si>
  <si>
    <t>Вероятность невозврата в i-ом филиале</t>
  </si>
  <si>
    <t>Bi(pi)</t>
  </si>
  <si>
    <t>Вероятность того, что кредит выдан в i-ом филиале</t>
  </si>
  <si>
    <t>Р(А)</t>
  </si>
  <si>
    <t>Вероятность того, что произойдет невозврат кредита</t>
  </si>
  <si>
    <t>По формуле Байеса найдем вероятность невозврата кредита в i-ом филиале</t>
  </si>
  <si>
    <t>P(Bi/A)</t>
  </si>
  <si>
    <t>Вероятнее всего невозврат кредита произойдет во втором филифле (43,08%)</t>
  </si>
  <si>
    <t>Страховая премия составит 91,41 у.е</t>
  </si>
  <si>
    <t>3-4. Вероятность разрушния объекта в результате несчастного случая составляет 2%, а повреждения 98% соответственно (1-0,02)</t>
  </si>
  <si>
    <t>задача:</t>
  </si>
  <si>
    <t>1). Построить схему частот разрушение/повреждения для 10 объектов</t>
  </si>
  <si>
    <t xml:space="preserve">2). Найти ожидаемый ущерб, отклонение ущерба от ожидаемого и величину резерва при условии, что страховая сумма по договору страхования каждого объекта </t>
  </si>
  <si>
    <t>составляет 1000 у.е</t>
  </si>
  <si>
    <t>По формуле Бернулли</t>
  </si>
  <si>
    <t>где n=10, p=0,02, q=0,98</t>
  </si>
  <si>
    <t>Pn(k)</t>
  </si>
  <si>
    <t>k*Pn(k)</t>
  </si>
  <si>
    <t>k^2</t>
  </si>
  <si>
    <t>k^2*Pn(k)</t>
  </si>
  <si>
    <t>M(k)</t>
  </si>
  <si>
    <t>M(k^2)</t>
  </si>
  <si>
    <t>M^2(k)</t>
  </si>
  <si>
    <t>sigma(k)</t>
  </si>
  <si>
    <t>Ожидаемый ущерб=Страховая сумма*Ожидаемая частота разрушения</t>
  </si>
  <si>
    <t>Отклонение ущерба=Страховая сумма*Среднеквадратическое отклонение частоты разрушения</t>
  </si>
  <si>
    <t>Резерв=Ожидаемый ущерб+Отклонение ущерба</t>
  </si>
  <si>
    <t>Ожид. Ущерб</t>
  </si>
  <si>
    <t>Отклонение</t>
  </si>
  <si>
    <t>Резерв</t>
  </si>
  <si>
    <t>Ожидаемый ущерб составит 200 у.е</t>
  </si>
  <si>
    <t>Отклонение ущерба составляет 442,72 у.е</t>
  </si>
  <si>
    <t>Необходимый резерв составляет 642,72 у.е</t>
  </si>
  <si>
    <t>5. Вероятность разрушения объекта страхования составляет 3%. Какова вероятность того, что в 3000 страховых договоров, разрушение объекта произойдет не менее</t>
  </si>
  <si>
    <t>чем в 100 и не более чем, в 200, при условии нормального распределения наступления страхового события?</t>
  </si>
  <si>
    <t>k1</t>
  </si>
  <si>
    <t>k2</t>
  </si>
  <si>
    <t>p</t>
  </si>
  <si>
    <t>х1</t>
  </si>
  <si>
    <t>ф(х1)</t>
  </si>
  <si>
    <t>х2</t>
  </si>
  <si>
    <t>Ф(х2)</t>
  </si>
  <si>
    <t>Р</t>
  </si>
  <si>
    <t>Вероятность того, что из 3000 страховых договоров, разрушение объекта произойдет не менее, чем в 100 и не более чем, в 200 составляет 14,23%</t>
  </si>
  <si>
    <t xml:space="preserve">6.Страховщик использует модель нормального распределения для анализа вероятных выплат по страховому портфелю. </t>
  </si>
  <si>
    <t>Среднее значение страховой выплаты составляет 500 д.е, а стандартное отклонение 60 д.е</t>
  </si>
  <si>
    <t>Найти вероятность того, что размер страховых выплат составит:</t>
  </si>
  <si>
    <t>1). Более 510 д.е</t>
  </si>
  <si>
    <t>2). Менее 450 д.е</t>
  </si>
  <si>
    <t>3). Более 440 и менее 580 д.е</t>
  </si>
  <si>
    <t>4). Найти вероятность, при которой отклонение страховой выплаты от среднего значения не превысит 3-ех сигм.</t>
  </si>
  <si>
    <t xml:space="preserve">5). С вероятностью 0,95 определить интервал, в котором будет находиться размер страховой выплаты. </t>
  </si>
  <si>
    <t>Найти ожидаемую величину отклонения страховой выплаты от среднего значения при данных условиях</t>
  </si>
  <si>
    <t>k mean</t>
  </si>
  <si>
    <t>Sk</t>
  </si>
  <si>
    <t>(+)беск</t>
  </si>
  <si>
    <t>Вероятность того, что размер страховых выплат составит более 510 д.е составляет 37,07%</t>
  </si>
  <si>
    <t>Вероятность того, что размер страховых выплат составит менее 450 д.е составляет 20,33%</t>
  </si>
  <si>
    <t>Вероятность того, что размер страховых выплат составит от 440 до 580 составляет 74,95%</t>
  </si>
  <si>
    <t>Вероятность того, что отклонение страховой выплаты от среднего значения не превысит 3-ех сигма составляет 99,73%</t>
  </si>
  <si>
    <t>500-b</t>
  </si>
  <si>
    <t>500+b</t>
  </si>
  <si>
    <t>(-b/60)</t>
  </si>
  <si>
    <t>(b/60)</t>
  </si>
  <si>
    <t>2Ф(b/60)=0,95</t>
  </si>
  <si>
    <t>Ф(b/60)=0,475</t>
  </si>
  <si>
    <t>b/60=1,96</t>
  </si>
  <si>
    <t>b</t>
  </si>
  <si>
    <t xml:space="preserve">С вероятностью 0,95 интервал, которому будут принадлежать страховые выплаты составит от 382,6 до 617,6 д.е. </t>
  </si>
  <si>
    <t>При этом ожидаемая величина отклонения страховой выплаты от среднего значения равна 117,6 д.е</t>
  </si>
  <si>
    <t>Агапов М.Я. ЭКМ-3,4</t>
  </si>
  <si>
    <t>Страхование (часть 2)</t>
  </si>
  <si>
    <t>7. Имеются данные о распределении страховых выплат по договорам страхования</t>
  </si>
  <si>
    <t>Размер страховых выплат, д.е</t>
  </si>
  <si>
    <t>Кол-во страховых договоров</t>
  </si>
  <si>
    <t xml:space="preserve">На уровне значимости а = 0,05 по критерию Пирсона проверить гипотезу страховщика о том, </t>
  </si>
  <si>
    <t>что распределение страховых выплат по договорам страхования соответствует закону нормального распределения.</t>
  </si>
  <si>
    <t>Нужно проверить неравенство</t>
  </si>
  <si>
    <t>Формализуем исходную таблицу</t>
  </si>
  <si>
    <t>yi</t>
  </si>
  <si>
    <t>yi mean=a</t>
  </si>
  <si>
    <t>sigma=Sy</t>
  </si>
  <si>
    <t>Заполним следующую таблицу</t>
  </si>
  <si>
    <t>(yi-a)/Sy</t>
  </si>
  <si>
    <t>Ф((yi-a)/Sy)</t>
  </si>
  <si>
    <t>Ф(i+1)-ф(i)</t>
  </si>
  <si>
    <t>n'=N(Ф(i+1)-ф(i))</t>
  </si>
  <si>
    <t>(ni-ni')^2/2</t>
  </si>
  <si>
    <t>N</t>
  </si>
  <si>
    <t>Хикв расчетное</t>
  </si>
  <si>
    <t>Хикв критическое</t>
  </si>
  <si>
    <t>Расчетное значение превышает критическое, следовательно гипотезу о нормальности распределения страховых выплат следует отвергнуть.</t>
  </si>
  <si>
    <t>8. Имеется предположение о том, что убытки рисков подчиняются экспоненциальному распределению.</t>
  </si>
  <si>
    <t>Среднее значение ущерба от рисков по объекту за год оценивается в размере 1000 д.е.</t>
  </si>
  <si>
    <t xml:space="preserve">Определить: </t>
  </si>
  <si>
    <t xml:space="preserve">а) вероятность предъявления иска по страховой выплате в сумме 1200 д.е.; </t>
  </si>
  <si>
    <t xml:space="preserve">б) вероятность того, что предъявленный иск будет не более 500 д.е.; </t>
  </si>
  <si>
    <t>в) построить графики функций распределения вероятностей и плотности распределения вероятностей на интервале возможных убытков [0,600].</t>
  </si>
  <si>
    <t>а). Функция распределения зависящая от значения некоторой случайной величины – вероятность того, что случайная величина окажется меньше этого значения.</t>
  </si>
  <si>
    <t>Однако, 1200&gt;1000</t>
  </si>
  <si>
    <t>В случае непрерывной случайной величины вероятность конкретного значения случайной величины всегда будет равна нулю.</t>
  </si>
  <si>
    <t>а</t>
  </si>
  <si>
    <t>λ</t>
  </si>
  <si>
    <t>P(0&lt;иск&lt;500)=F(500)-F(0)</t>
  </si>
  <si>
    <t>F(500)</t>
  </si>
  <si>
    <t>F(0)</t>
  </si>
  <si>
    <t>P(0&lt;иск&lt;500)</t>
  </si>
  <si>
    <t>Вероятность того, что иск не превысит 500 д.е составляет 39,35%</t>
  </si>
  <si>
    <t>x</t>
  </si>
  <si>
    <t>F(x)</t>
  </si>
  <si>
    <t>f(x)</t>
  </si>
  <si>
    <t>9. Предположим, что страховая сумма составляет 1500 д.е, предел ответственности 90%, а условная франшиза стоит 150 д.е</t>
  </si>
  <si>
    <t xml:space="preserve">размер страхового возмещения (СВ), если </t>
  </si>
  <si>
    <t>1) Ущерб равен 100 д.е</t>
  </si>
  <si>
    <t>2) Ущерб составляет 500 д.е</t>
  </si>
  <si>
    <t xml:space="preserve">1). </t>
  </si>
  <si>
    <t>Сумма к компенсации</t>
  </si>
  <si>
    <t>90 д.е&lt;150 д.е</t>
  </si>
  <si>
    <t>Сумма компенсации меньше условной франшизы, она не будет компенсированна</t>
  </si>
  <si>
    <t>СВ=0</t>
  </si>
  <si>
    <t>2).</t>
  </si>
  <si>
    <t>450 д.е&gt;150д.е</t>
  </si>
  <si>
    <t>Сумма компенсации больше условной франшизы, она будет компенсированна</t>
  </si>
  <si>
    <t>СВ=450 д.е</t>
  </si>
  <si>
    <t xml:space="preserve">10. Имеется совокупность данных, характеризующая объемы страховых сумм и страховых взносов за 10 периодов. </t>
  </si>
  <si>
    <t xml:space="preserve">Статистическая оценка возникновения страхового события 0,05. </t>
  </si>
  <si>
    <t>Нагрузка равна 0,2.</t>
  </si>
  <si>
    <t>Страх.сумма</t>
  </si>
  <si>
    <t>Страх.взнос</t>
  </si>
  <si>
    <t>величину нетто-ставки страховой премии,проанализировать разбиение ее на основную часть и премию за риск.</t>
  </si>
  <si>
    <t>Уровень значимости 0,95.</t>
  </si>
  <si>
    <t>CCmean</t>
  </si>
  <si>
    <t>CBmean</t>
  </si>
  <si>
    <t>где, То-основная часть</t>
  </si>
  <si>
    <t>Тр-рисковая надбавка</t>
  </si>
  <si>
    <t>σв</t>
  </si>
  <si>
    <t>То</t>
  </si>
  <si>
    <t>Тр</t>
  </si>
  <si>
    <t>Тн</t>
  </si>
  <si>
    <t>Нетто-ставка составит 3,65% страховой суммы.</t>
  </si>
  <si>
    <t>Брутто-ставка</t>
  </si>
  <si>
    <t>Тб=Тн/(1-f)</t>
  </si>
  <si>
    <t>Тб</t>
  </si>
  <si>
    <t xml:space="preserve">Брутто-ставка составит 4,56%. </t>
  </si>
  <si>
    <t>Т.е 4,56% от страховой суммы будет составлять страховая премия</t>
  </si>
  <si>
    <t>11. Имеется функция распределения ущерба</t>
  </si>
  <si>
    <t>Нужно:</t>
  </si>
  <si>
    <t>1).оценить величину ожидаемого ущерба (М(х))</t>
  </si>
  <si>
    <r>
      <t>2).оценить величину разброса (</t>
    </r>
    <r>
      <rPr>
        <sz val="11"/>
        <color theme="1"/>
        <rFont val="Calibri"/>
        <family val="2"/>
        <charset val="204"/>
      </rPr>
      <t>σ(х))</t>
    </r>
  </si>
  <si>
    <t>3).вычислить вероятность, что ущерб принадлежит интервалу [M(x)-σ(х); M(x)+σ(х)]</t>
  </si>
  <si>
    <t>1).</t>
  </si>
  <si>
    <t>M(x)</t>
  </si>
  <si>
    <t>M(x^2)</t>
  </si>
  <si>
    <t>M^2(x)</t>
  </si>
  <si>
    <t>D(x)</t>
  </si>
  <si>
    <t>σ(х)</t>
  </si>
  <si>
    <t>3).</t>
  </si>
  <si>
    <t>M(x)-σ(х)</t>
  </si>
  <si>
    <t>M(x)+σ(х)</t>
  </si>
  <si>
    <t>P(5,11&lt;x&lt;10,89)=F(10,89)-F(5,11)=0,789-0,211=0,578</t>
  </si>
  <si>
    <t>С вероятностью 57,8% ущерб принадлежит интервалу [M(x)-σ(х); M(x)+σ(х)]</t>
  </si>
  <si>
    <t>Имеются данные о величине чистой прибыли Российских компаний в 2021 году в млрд.руб.(https://www.forbes.ru/biznes/477863-samye-pribyl-nye-kompanii-rossii-2022-rejting-forbes)</t>
  </si>
  <si>
    <t>1. Определить имееются ли в выборке ложные данные, используя метод Грраббса с уровнем значимости 0,95</t>
  </si>
  <si>
    <t>2. Проверить, соответствует ли полученная выборка экспоненциальному закону распределения, используя критерий хи-квадрат Пирсона с уровнем значимости 0,95</t>
  </si>
  <si>
    <t>Компания</t>
  </si>
  <si>
    <t>Чистая прибыль</t>
  </si>
  <si>
    <t>Газпром</t>
  </si>
  <si>
    <t>Сбербанк</t>
  </si>
  <si>
    <t>Роснефть</t>
  </si>
  <si>
    <t>Лукойл</t>
  </si>
  <si>
    <t>Сургутнефтегаз</t>
  </si>
  <si>
    <t>Норильский никель</t>
  </si>
  <si>
    <t>Новатэк</t>
  </si>
  <si>
    <t>НЛМК</t>
  </si>
  <si>
    <t>Ямал СПГ</t>
  </si>
  <si>
    <t>ВТБ</t>
  </si>
  <si>
    <t>Северсталь</t>
  </si>
  <si>
    <t>Металлоинвест</t>
  </si>
  <si>
    <t>ЭН+ Груп</t>
  </si>
  <si>
    <t>Evraz</t>
  </si>
  <si>
    <t>СИБУР Холдинг</t>
  </si>
  <si>
    <t>ММК</t>
  </si>
  <si>
    <t>Атомэнергопром</t>
  </si>
  <si>
    <t>Еврохим</t>
  </si>
  <si>
    <t>Татнефть</t>
  </si>
  <si>
    <t>Полюс</t>
  </si>
  <si>
    <t>Транснефть</t>
  </si>
  <si>
    <t>Фосагро</t>
  </si>
  <si>
    <t>Шаг 1</t>
  </si>
  <si>
    <t>mx</t>
  </si>
  <si>
    <t>sx</t>
  </si>
  <si>
    <t>Tопмакс</t>
  </si>
  <si>
    <t>&gt;2,66</t>
  </si>
  <si>
    <t>Выброс по макимуму</t>
  </si>
  <si>
    <t>Tопмин</t>
  </si>
  <si>
    <t>&lt;2,66</t>
  </si>
  <si>
    <t>Выброса по минимуму нет</t>
  </si>
  <si>
    <t>Tкрит(0,05;22)</t>
  </si>
  <si>
    <t>Исключаем Газпром</t>
  </si>
  <si>
    <t>Шаг 2</t>
  </si>
  <si>
    <t>&gt;2,64</t>
  </si>
  <si>
    <t>&lt;2,64</t>
  </si>
  <si>
    <t>Tкрит(0,05;21)</t>
  </si>
  <si>
    <t>Исключаем Сбербанк</t>
  </si>
  <si>
    <t>Шаг 3</t>
  </si>
  <si>
    <t>&gt;2,62</t>
  </si>
  <si>
    <t>&lt;2,62</t>
  </si>
  <si>
    <t>Tкрит(0,05;20)</t>
  </si>
  <si>
    <t>Исключаем Роснефть</t>
  </si>
  <si>
    <t>Шаг 4</t>
  </si>
  <si>
    <t>&gt;2,6</t>
  </si>
  <si>
    <t>&lt;2,6</t>
  </si>
  <si>
    <t>Tкрит(0,05;19)</t>
  </si>
  <si>
    <t>Исключаем Лукойл</t>
  </si>
  <si>
    <t>Шаг 5</t>
  </si>
  <si>
    <t>&lt;2,58</t>
  </si>
  <si>
    <t>Выброса по макимуму нет</t>
  </si>
  <si>
    <t>Tкрит(0,05;18)</t>
  </si>
  <si>
    <t>Выбросов нет</t>
  </si>
  <si>
    <t>Итоговое множество для анализа</t>
  </si>
  <si>
    <t>Длина интервала</t>
  </si>
  <si>
    <t>Лябда</t>
  </si>
  <si>
    <t>Начало интервала</t>
  </si>
  <si>
    <t>Конец интервала</t>
  </si>
  <si>
    <t>ni' = pi*n</t>
  </si>
  <si>
    <t>((ni-ni')^2)/ni</t>
  </si>
  <si>
    <t>Экспоненциальное</t>
  </si>
  <si>
    <t>ХИ кв опытное</t>
  </si>
  <si>
    <t>ХИ ка критическое</t>
  </si>
  <si>
    <t>Опытное значение &lt; Критическое значение =&gt; выборка имеет экспоненциальное распределение</t>
  </si>
  <si>
    <t>Продукт</t>
  </si>
  <si>
    <t>p - цена</t>
  </si>
  <si>
    <t>q - объем</t>
  </si>
  <si>
    <t>t - трудоемкость</t>
  </si>
  <si>
    <t>z - себестоимость</t>
  </si>
  <si>
    <t>p0</t>
  </si>
  <si>
    <t>p1</t>
  </si>
  <si>
    <t>q0</t>
  </si>
  <si>
    <t>q1</t>
  </si>
  <si>
    <t>t0</t>
  </si>
  <si>
    <t>t1</t>
  </si>
  <si>
    <t>z0</t>
  </si>
  <si>
    <t>z1</t>
  </si>
  <si>
    <t>1. Стоимость</t>
  </si>
  <si>
    <t>Ip,пс</t>
  </si>
  <si>
    <t>Стоимость повысилась на 11%</t>
  </si>
  <si>
    <t>Ip, фс</t>
  </si>
  <si>
    <t>Стоимость повысилась на 7% в результате изменения самой цены</t>
  </si>
  <si>
    <t>Ip, сс</t>
  </si>
  <si>
    <t>Стоимость повысилась на 4% в результате изменения объема</t>
  </si>
  <si>
    <t>2. Трудоемкость</t>
  </si>
  <si>
    <t>It,пс</t>
  </si>
  <si>
    <t>Трудоемкость повысилась на 19%</t>
  </si>
  <si>
    <t>It, фс</t>
  </si>
  <si>
    <t>Трудоемкость повысилась на 15% в результате изменения самой трудоемкости</t>
  </si>
  <si>
    <t>It, сс</t>
  </si>
  <si>
    <t>Трудоемкость снизилась на 4% в результате изменения объема</t>
  </si>
  <si>
    <t>3. Себестоимость</t>
  </si>
  <si>
    <t>Iz,пс</t>
  </si>
  <si>
    <t>Себестоимость практически не изменилась</t>
  </si>
  <si>
    <t>Iz, фс</t>
  </si>
  <si>
    <t>Себестоимость снизилась на 2% в результате изменения самой себестоимости</t>
  </si>
  <si>
    <t>Iz, сс</t>
  </si>
  <si>
    <t>Себестоимость повысилась на 2% в результате изменения объема</t>
  </si>
  <si>
    <t>m - количество экспертов</t>
  </si>
  <si>
    <t>n - количество критериев оценки</t>
  </si>
  <si>
    <t>Эксперты</t>
  </si>
  <si>
    <t>Вкус и запах</t>
  </si>
  <si>
    <t>Консистенция</t>
  </si>
  <si>
    <t>Цвет</t>
  </si>
  <si>
    <t>Упаковка</t>
  </si>
  <si>
    <t>Содержание жира</t>
  </si>
  <si>
    <t>Торговое наименование</t>
  </si>
  <si>
    <t>Производитель</t>
  </si>
  <si>
    <t>Цена</t>
  </si>
  <si>
    <t>SUM ri</t>
  </si>
  <si>
    <t>r mean</t>
  </si>
  <si>
    <t>S = (ri-rmean)^2</t>
  </si>
  <si>
    <t>W</t>
  </si>
  <si>
    <t>ХИ2 опытное</t>
  </si>
  <si>
    <t>ХИ2 критическое</t>
  </si>
  <si>
    <t>ХИ2 опытное &gt; ХИ2 критическое =&gt; оценки эспертов согласованы</t>
  </si>
  <si>
    <t>X max</t>
  </si>
  <si>
    <t>X min</t>
  </si>
  <si>
    <t>Xi</t>
  </si>
  <si>
    <t>Xi+1</t>
  </si>
  <si>
    <t>ni'</t>
  </si>
  <si>
    <t>ni''</t>
  </si>
  <si>
    <t>((ni' - ni'')^2)/ni''</t>
  </si>
  <si>
    <t>ХИ оп</t>
  </si>
  <si>
    <t>ХИ крит</t>
  </si>
  <si>
    <t>ХИ оп &lt; ХИ кр =&gt; согласованы</t>
  </si>
  <si>
    <t>Имеются данные, харакатеризующие активы по 2 признакам: Х - доходность актива, Y - рискованность актива за период (стандартное отклонение)</t>
  </si>
  <si>
    <t>Название</t>
  </si>
  <si>
    <t>X</t>
  </si>
  <si>
    <t>Y</t>
  </si>
  <si>
    <t>А</t>
  </si>
  <si>
    <t>Критерий остановки</t>
  </si>
  <si>
    <t>Б</t>
  </si>
  <si>
    <t>В</t>
  </si>
  <si>
    <t>Г</t>
  </si>
  <si>
    <t>Д</t>
  </si>
  <si>
    <t>Е</t>
  </si>
  <si>
    <t>Ж</t>
  </si>
  <si>
    <t>З</t>
  </si>
  <si>
    <t>И</t>
  </si>
  <si>
    <t>К</t>
  </si>
  <si>
    <t>р крит</t>
  </si>
  <si>
    <t>Стандартизация (по максимальному значению)</t>
  </si>
  <si>
    <t>max X</t>
  </si>
  <si>
    <t>max Y</t>
  </si>
  <si>
    <t>Начальная матрица расстояний</t>
  </si>
  <si>
    <t>X'</t>
  </si>
  <si>
    <t>Y'</t>
  </si>
  <si>
    <t>min</t>
  </si>
  <si>
    <t>А и Б</t>
  </si>
  <si>
    <t>0,07 &lt; 0,38 =&gt; продолжаем кластеризацию</t>
  </si>
  <si>
    <t>Объединеяем А и Б в кластер S1</t>
  </si>
  <si>
    <t>Кластер S1 имеет характеристики:</t>
  </si>
  <si>
    <t>X1 ср</t>
  </si>
  <si>
    <t>Y1 ср</t>
  </si>
  <si>
    <t>Преобразованная матрица расстояний 1</t>
  </si>
  <si>
    <t>s1</t>
  </si>
  <si>
    <t>S1</t>
  </si>
  <si>
    <t>В и И</t>
  </si>
  <si>
    <t>К и З</t>
  </si>
  <si>
    <t>0,08 &lt; 0,38 =&gt; продолжаем кластеризацию</t>
  </si>
  <si>
    <t>Объединеяем В и И в кластер S2</t>
  </si>
  <si>
    <t>Кластер S2 имеет характеристики:</t>
  </si>
  <si>
    <t>X2 ср</t>
  </si>
  <si>
    <t>Y2 ср</t>
  </si>
  <si>
    <t>Объединеяем З и К в кластер S3</t>
  </si>
  <si>
    <t>Кластер S3 имеет характеристики:</t>
  </si>
  <si>
    <t>X3 ср</t>
  </si>
  <si>
    <t>Y3 ср</t>
  </si>
  <si>
    <t>Преобразованная матрица расстояний 2</t>
  </si>
  <si>
    <t>S3</t>
  </si>
  <si>
    <t>S2</t>
  </si>
  <si>
    <t>Г и Е</t>
  </si>
  <si>
    <t>0,1 &lt; 0,38 =&gt; продолжаем кластеризацию</t>
  </si>
  <si>
    <t>Объединеяем Г и Е в кластер S4</t>
  </si>
  <si>
    <t>Кластер S4 имеет характеристики:</t>
  </si>
  <si>
    <t>X4 ср</t>
  </si>
  <si>
    <t>Y4 ср</t>
  </si>
  <si>
    <t>Преобразованная матрица расстояний 3</t>
  </si>
  <si>
    <t>S4</t>
  </si>
  <si>
    <t>S3 и Д</t>
  </si>
  <si>
    <t>0,16 &lt; 0,38 =&gt; продолжаем кластеризацию</t>
  </si>
  <si>
    <t>Объединеяем S3 и Д в кластер S5</t>
  </si>
  <si>
    <t>Кластер S5 имеет характеристики:</t>
  </si>
  <si>
    <t>X5 ср</t>
  </si>
  <si>
    <t>Y5 ср</t>
  </si>
  <si>
    <t>Преобразованная матрица расстояний 4</t>
  </si>
  <si>
    <t>S5</t>
  </si>
  <si>
    <t>S2 и S5</t>
  </si>
  <si>
    <t>S1 и S4</t>
  </si>
  <si>
    <t>0,21 &lt; 0,38 =&gt; продолжаем кластеризацию</t>
  </si>
  <si>
    <t>Объединеяем S2 и S5 в кластер S6</t>
  </si>
  <si>
    <t>Кластер S6 имеет характеристики:</t>
  </si>
  <si>
    <t>X6 ср</t>
  </si>
  <si>
    <t>Y6 ср</t>
  </si>
  <si>
    <t>Объединеяем S1 и S4 в кластер S7</t>
  </si>
  <si>
    <t>Кластер S7 имеет характеристики:</t>
  </si>
  <si>
    <t>X7 ср</t>
  </si>
  <si>
    <t>Y7 ср</t>
  </si>
  <si>
    <t>Преобразованная матрица расстояний 5</t>
  </si>
  <si>
    <t>S7</t>
  </si>
  <si>
    <t>S6</t>
  </si>
  <si>
    <t>S6 и S7</t>
  </si>
  <si>
    <t>0,11 &lt; 0,38 =&gt; продолжаем кластеризацию</t>
  </si>
  <si>
    <t>Объединеяем S6 и S7 в кластер S8</t>
  </si>
  <si>
    <t>Кластер S8 имеет характеристики:</t>
  </si>
  <si>
    <t>X8 ср</t>
  </si>
  <si>
    <t>Y8 ср</t>
  </si>
  <si>
    <t>Преобразованная матрица расстояний 6</t>
  </si>
  <si>
    <t>S8</t>
  </si>
  <si>
    <t>0,73 &gt; 0,38 =&gt; останавливаем кластеризацию</t>
  </si>
  <si>
    <t>Таким образом, активы были разделены на 2 класса:</t>
  </si>
  <si>
    <t>S8 = {А, Б, В, Г, Д, Е}</t>
  </si>
  <si>
    <t>S9 = {Ж}</t>
  </si>
  <si>
    <t>В кластер S8 попали близкие друг к другу активы со средними уровнями доходностями и риска, они являются более консервативными, требуют меньшего уровня контроля, чем объекты из кластера S9</t>
  </si>
  <si>
    <t>В магазин поступает поток покупателей с интенсивностью  10 покупателей в 1 мин., которых обслуживают 3 кассира с интенсивностью 2 покупателя в 1 мин. длина очереди ограничена 5 покупателями.</t>
  </si>
  <si>
    <t>Ороеделить вероятность отказа системы, а также среднее время обслуживания одного покупателя, среднее время нахождения покупателя в очереди, среднее время нахождения покупателя в мини-маркете.</t>
  </si>
  <si>
    <t>Оценить эффективность работы системы.</t>
  </si>
  <si>
    <t>lambda</t>
  </si>
  <si>
    <t>покупателей в 1 мин. заходит в мини-маркет</t>
  </si>
  <si>
    <t>mu</t>
  </si>
  <si>
    <t>покупателя в 1 мин. обслуживает 1 кассир</t>
  </si>
  <si>
    <t>кассира в магазине</t>
  </si>
  <si>
    <t xml:space="preserve">максимальный размер очереди </t>
  </si>
  <si>
    <t>ro</t>
  </si>
  <si>
    <t>показатель работы системы</t>
  </si>
  <si>
    <t>ro^i</t>
  </si>
  <si>
    <t>i!</t>
  </si>
  <si>
    <t>ro^i/i!</t>
  </si>
  <si>
    <t>ro^(n+1)</t>
  </si>
  <si>
    <t>n*n!</t>
  </si>
  <si>
    <t>Отношение</t>
  </si>
  <si>
    <t>ro/n</t>
  </si>
  <si>
    <t>1-(ro/n)^m</t>
  </si>
  <si>
    <t>1-(ro/n)</t>
  </si>
  <si>
    <t>-</t>
  </si>
  <si>
    <t>Система свободна, покупателей нет</t>
  </si>
  <si>
    <t>Занят 1 кассир, обслуживается 1 покупатель, очереди нет</t>
  </si>
  <si>
    <t>p2</t>
  </si>
  <si>
    <t>Заняты 2 кассира, обслуживается 2 покупателя, очереди нет</t>
  </si>
  <si>
    <t>р3</t>
  </si>
  <si>
    <t>Заняты 3 кассира, обслуживается 3 покупателя, очереди нет</t>
  </si>
  <si>
    <t>p4</t>
  </si>
  <si>
    <t>Все 3 кассира заняты, в очереди стоит 1 покупатель</t>
  </si>
  <si>
    <t>p5</t>
  </si>
  <si>
    <t>Все 3 кассира заняты, в очереди стоит 2 покупателя</t>
  </si>
  <si>
    <t>p6</t>
  </si>
  <si>
    <t>Все 3 кассира заняты, в очереди стоит 3 покупателя</t>
  </si>
  <si>
    <t>р7</t>
  </si>
  <si>
    <t>Все 3 кассира заняты, в очереди стоит 4 покупателя</t>
  </si>
  <si>
    <t>р8</t>
  </si>
  <si>
    <t>Все 3 кассира заняты, в очереди стоит 5 покупателей - при приходе еще 1 покупателя отказ системы</t>
  </si>
  <si>
    <t>Сумма (=1)</t>
  </si>
  <si>
    <t>Pотказа</t>
  </si>
  <si>
    <t>Систему нельзя считать эффективной, т.к. покупатели с большой вероятностью (94%) вынуждены ожидать в очереди</t>
  </si>
  <si>
    <t>Робслуживание</t>
  </si>
  <si>
    <t>при этом среднее кол-во занятых каналов равно 0 (говорит о низкой эффективности работы кассиров)</t>
  </si>
  <si>
    <t>Среднее кол-во занятых каналов</t>
  </si>
  <si>
    <t>Рочереди</t>
  </si>
  <si>
    <t>Средняя длина очереди</t>
  </si>
  <si>
    <t>Среднее кол-во заявок в системе</t>
  </si>
  <si>
    <t>Среднее время нахождения завки в каналах обслуживания</t>
  </si>
  <si>
    <t>В среднем покупатель не обслуживается</t>
  </si>
  <si>
    <t>Среднее время нахождения завки в очереди</t>
  </si>
  <si>
    <t>мин</t>
  </si>
  <si>
    <t>Среднее время нахождения завки в системе</t>
  </si>
  <si>
    <t>Имеются данные о среднемесячной номинальной начисленной заработной плате работников по полному кругу организаций за период с 2013 по 2022 год по кварталам в руб., требуется выявить и устранить сезонную компоненту, сформировать тренд и оценить погрешность</t>
  </si>
  <si>
    <t>https://view.officeapps.live.com/op/view.aspx?src=https%3A%2F%2Frosstat.gov.ru%2Fstorage%2Fmediabank%2Ftab1_zpl_01-2023.xlsx&amp;wdOrigin=BROWSELINK</t>
  </si>
  <si>
    <t>ур</t>
  </si>
  <si>
    <t>yt</t>
  </si>
  <si>
    <t>итого за 4 уровня</t>
  </si>
  <si>
    <t>скользящая средняя</t>
  </si>
  <si>
    <t>центр скользящей средней</t>
  </si>
  <si>
    <t>оценка скользящей средней</t>
  </si>
  <si>
    <t>Si</t>
  </si>
  <si>
    <t>T+E=yt-Si</t>
  </si>
  <si>
    <t>T model</t>
  </si>
  <si>
    <t>(T+Si) model</t>
  </si>
  <si>
    <t>E^2</t>
  </si>
  <si>
    <t>Показатель</t>
  </si>
  <si>
    <t>Год</t>
  </si>
  <si>
    <t>Квартал</t>
  </si>
  <si>
    <t>Итого за квартал i</t>
  </si>
  <si>
    <t>Сумма</t>
  </si>
  <si>
    <t>Si mean</t>
  </si>
  <si>
    <t>Cумма</t>
  </si>
  <si>
    <t>Скорректированная скользящая средняя (Si)</t>
  </si>
  <si>
    <t>Равенство 0 сезонной компоненты</t>
  </si>
  <si>
    <t>Корректирующий коэффициент K</t>
  </si>
  <si>
    <t>K</t>
  </si>
  <si>
    <t>Оценка</t>
  </si>
  <si>
    <t>Сумма квадратов ошибок</t>
  </si>
  <si>
    <t>Среднее значение ряда</t>
  </si>
  <si>
    <t>Сумма квадратов отклонений ряда</t>
  </si>
  <si>
    <t>Процент объяснения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</si>
</sst>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0.0000"/>
    <numFmt numFmtId="165" formatCode="0.00000"/>
    <numFmt numFmtId="166" formatCode="0.000000"/>
    <numFmt numFmtId="167" formatCode="0.000"/>
    <numFmt numFmtId="168" formatCode="0.00000000"/>
    <numFmt numFmtId="169" formatCode="0.0000000"/>
    <numFmt numFmtId="170" formatCode="0.000000%"/>
    <numFmt numFmtId="171" formatCode="0.0000000%"/>
    <numFmt numFmtId="172" formatCode="0.000000000%"/>
    <numFmt numFmtId="173" formatCode="0.00000000000%"/>
    <numFmt numFmtId="174" formatCode="0.0000000000000%"/>
    <numFmt numFmtId="175" formatCode="0.0000000000000000%"/>
    <numFmt numFmtId="176" formatCode="0.000000000"/>
    <numFmt numFmtId="177" formatCode="0.00000000000"/>
    <numFmt numFmtId="178" formatCode="0.0000000000000"/>
    <numFmt numFmtId="179" formatCode="0.0000000000000000"/>
    <numFmt numFmtId="180" formatCode="0.0000000000000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i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0" fontId="3" fillId="2" borderId="1" applyNumberFormat="0" applyAlignment="0" applyProtection="0"/>
    <xf numFmtId="0" fontId="1" fillId="0" borderId="0"/>
    <xf numFmtId="0" fontId="10" fillId="0" borderId="0" applyNumberFormat="0" applyFill="0" applyBorder="0" applyAlignment="0" applyProtection="0"/>
  </cellStyleXfs>
  <cellXfs count="106">
    <xf numFmtId="0" fontId="0" fillId="0" borderId="0" xfId="0"/>
    <xf numFmtId="0" fontId="1" fillId="0" borderId="0" xfId="3"/>
    <xf numFmtId="0" fontId="3" fillId="2" borderId="1" xfId="2" applyAlignment="1">
      <alignment horizontal="center"/>
    </xf>
    <xf numFmtId="2" fontId="3" fillId="2" borderId="1" xfId="2" applyNumberFormat="1" applyAlignment="1">
      <alignment horizontal="center"/>
    </xf>
    <xf numFmtId="2" fontId="1" fillId="0" borderId="0" xfId="3" applyNumberFormat="1"/>
    <xf numFmtId="0" fontId="3" fillId="2" borderId="1" xfId="2" applyAlignment="1">
      <alignment horizontal="center"/>
    </xf>
    <xf numFmtId="2" fontId="3" fillId="2" borderId="1" xfId="2" applyNumberFormat="1"/>
    <xf numFmtId="0" fontId="3" fillId="2" borderId="1" xfId="2"/>
    <xf numFmtId="164" fontId="3" fillId="2" borderId="1" xfId="2" applyNumberFormat="1"/>
    <xf numFmtId="165" fontId="3" fillId="2" borderId="1" xfId="2" applyNumberFormat="1"/>
    <xf numFmtId="165" fontId="1" fillId="0" borderId="0" xfId="3" applyNumberFormat="1"/>
    <xf numFmtId="0" fontId="6" fillId="0" borderId="0" xfId="3" applyFont="1" applyAlignment="1">
      <alignment horizontal="center"/>
    </xf>
    <xf numFmtId="0" fontId="6" fillId="0" borderId="2" xfId="3" applyFont="1" applyBorder="1" applyAlignment="1">
      <alignment horizontal="center"/>
    </xf>
    <xf numFmtId="0" fontId="1" fillId="0" borderId="3" xfId="3" applyBorder="1"/>
    <xf numFmtId="0" fontId="1" fillId="0" borderId="0" xfId="3" applyAlignment="1">
      <alignment horizontal="center"/>
    </xf>
    <xf numFmtId="2" fontId="1" fillId="0" borderId="0" xfId="3" applyNumberFormat="1" applyAlignment="1">
      <alignment horizontal="center"/>
    </xf>
    <xf numFmtId="0" fontId="1" fillId="0" borderId="3" xfId="3" applyBorder="1" applyAlignment="1">
      <alignment horizontal="center"/>
    </xf>
    <xf numFmtId="2" fontId="1" fillId="0" borderId="3" xfId="3" applyNumberFormat="1" applyBorder="1" applyAlignment="1">
      <alignment horizontal="center"/>
    </xf>
    <xf numFmtId="0" fontId="5" fillId="0" borderId="0" xfId="3" applyFont="1"/>
    <xf numFmtId="164" fontId="3" fillId="2" borderId="1" xfId="2" applyNumberFormat="1" applyAlignment="1">
      <alignment horizontal="center"/>
    </xf>
    <xf numFmtId="166" fontId="3" fillId="2" borderId="1" xfId="2" applyNumberFormat="1" applyAlignment="1">
      <alignment horizontal="center"/>
    </xf>
    <xf numFmtId="166" fontId="1" fillId="0" borderId="0" xfId="3" applyNumberFormat="1"/>
    <xf numFmtId="167" fontId="3" fillId="2" borderId="1" xfId="2" applyNumberFormat="1"/>
    <xf numFmtId="0" fontId="7" fillId="0" borderId="0" xfId="3" applyFont="1"/>
    <xf numFmtId="0" fontId="8" fillId="0" borderId="0" xfId="3" applyFont="1"/>
    <xf numFmtId="164" fontId="1" fillId="0" borderId="0" xfId="3" applyNumberFormat="1"/>
    <xf numFmtId="0" fontId="9" fillId="0" borderId="0" xfId="3" applyFont="1"/>
    <xf numFmtId="0" fontId="3" fillId="2" borderId="1" xfId="2" applyAlignment="1"/>
    <xf numFmtId="167" fontId="3" fillId="2" borderId="1" xfId="2" applyNumberFormat="1" applyAlignment="1">
      <alignment horizontal="center"/>
    </xf>
    <xf numFmtId="165" fontId="3" fillId="2" borderId="1" xfId="2" applyNumberFormat="1" applyAlignment="1"/>
    <xf numFmtId="1" fontId="3" fillId="2" borderId="1" xfId="2" applyNumberFormat="1" applyAlignment="1">
      <alignment horizontal="center"/>
    </xf>
    <xf numFmtId="164" fontId="3" fillId="2" borderId="1" xfId="2" applyNumberFormat="1" applyAlignment="1"/>
    <xf numFmtId="167" fontId="1" fillId="0" borderId="0" xfId="3" applyNumberFormat="1"/>
    <xf numFmtId="168" fontId="1" fillId="0" borderId="0" xfId="3" applyNumberFormat="1"/>
    <xf numFmtId="169" fontId="3" fillId="2" borderId="1" xfId="2" applyNumberFormat="1" applyAlignment="1">
      <alignment horizontal="center"/>
    </xf>
    <xf numFmtId="169" fontId="3" fillId="2" borderId="1" xfId="2" applyNumberFormat="1"/>
    <xf numFmtId="167" fontId="1" fillId="0" borderId="3" xfId="3" applyNumberFormat="1" applyBorder="1"/>
    <xf numFmtId="166" fontId="3" fillId="2" borderId="1" xfId="2" applyNumberFormat="1"/>
    <xf numFmtId="167" fontId="1" fillId="0" borderId="0" xfId="3" applyNumberFormat="1" applyAlignment="1">
      <alignment horizontal="center"/>
    </xf>
    <xf numFmtId="167" fontId="1" fillId="0" borderId="3" xfId="3" applyNumberFormat="1" applyBorder="1" applyAlignment="1">
      <alignment horizontal="center"/>
    </xf>
    <xf numFmtId="0" fontId="3" fillId="2" borderId="1" xfId="2" applyNumberFormat="1" applyAlignment="1">
      <alignment horizontal="center"/>
    </xf>
    <xf numFmtId="0" fontId="3" fillId="2" borderId="1" xfId="2" applyAlignment="1">
      <alignment wrapText="1"/>
    </xf>
    <xf numFmtId="10" fontId="3" fillId="2" borderId="1" xfId="2" applyNumberFormat="1" applyAlignment="1">
      <alignment horizontal="left"/>
    </xf>
    <xf numFmtId="170" fontId="3" fillId="2" borderId="1" xfId="2" applyNumberFormat="1" applyAlignment="1">
      <alignment horizontal="left"/>
    </xf>
    <xf numFmtId="171" fontId="3" fillId="2" borderId="1" xfId="2" applyNumberFormat="1" applyAlignment="1">
      <alignment horizontal="left"/>
    </xf>
    <xf numFmtId="172" fontId="3" fillId="2" borderId="1" xfId="2" applyNumberFormat="1" applyAlignment="1">
      <alignment horizontal="left"/>
    </xf>
    <xf numFmtId="173" fontId="3" fillId="2" borderId="1" xfId="2" applyNumberFormat="1" applyAlignment="1">
      <alignment horizontal="left"/>
    </xf>
    <xf numFmtId="174" fontId="3" fillId="2" borderId="1" xfId="2" applyNumberFormat="1" applyAlignment="1">
      <alignment horizontal="left"/>
    </xf>
    <xf numFmtId="175" fontId="3" fillId="2" borderId="1" xfId="2" applyNumberFormat="1" applyAlignment="1">
      <alignment horizontal="left"/>
    </xf>
    <xf numFmtId="168" fontId="3" fillId="2" borderId="1" xfId="2" applyNumberFormat="1" applyAlignment="1">
      <alignment horizontal="left"/>
    </xf>
    <xf numFmtId="176" fontId="3" fillId="2" borderId="1" xfId="2" applyNumberFormat="1" applyAlignment="1">
      <alignment horizontal="left"/>
    </xf>
    <xf numFmtId="177" fontId="3" fillId="2" borderId="1" xfId="2" applyNumberFormat="1" applyAlignment="1">
      <alignment horizontal="left"/>
    </xf>
    <xf numFmtId="178" fontId="3" fillId="2" borderId="1" xfId="2" applyNumberFormat="1" applyAlignment="1">
      <alignment horizontal="left"/>
    </xf>
    <xf numFmtId="179" fontId="3" fillId="2" borderId="1" xfId="2" applyNumberFormat="1" applyAlignment="1">
      <alignment horizontal="left"/>
    </xf>
    <xf numFmtId="180" fontId="3" fillId="2" borderId="1" xfId="2" applyNumberFormat="1" applyAlignment="1">
      <alignment horizontal="left"/>
    </xf>
    <xf numFmtId="169" fontId="3" fillId="2" borderId="1" xfId="2" applyNumberFormat="1" applyAlignment="1">
      <alignment horizontal="left"/>
    </xf>
    <xf numFmtId="10" fontId="1" fillId="0" borderId="0" xfId="3" applyNumberFormat="1"/>
    <xf numFmtId="0" fontId="3" fillId="2" borderId="0" xfId="2" applyBorder="1" applyAlignment="1">
      <alignment horizontal="center"/>
    </xf>
    <xf numFmtId="0" fontId="3" fillId="2" borderId="4" xfId="2" applyBorder="1" applyAlignment="1">
      <alignment horizontal="center"/>
    </xf>
    <xf numFmtId="0" fontId="3" fillId="2" borderId="5" xfId="2" applyBorder="1" applyAlignment="1">
      <alignment horizontal="center"/>
    </xf>
    <xf numFmtId="165" fontId="3" fillId="2" borderId="1" xfId="2" applyNumberFormat="1" applyAlignment="1">
      <alignment horizontal="center"/>
    </xf>
    <xf numFmtId="0" fontId="1" fillId="0" borderId="0" xfId="3" applyAlignment="1">
      <alignment wrapText="1"/>
    </xf>
    <xf numFmtId="0" fontId="4" fillId="0" borderId="0" xfId="3" applyFont="1"/>
    <xf numFmtId="0" fontId="1" fillId="0" borderId="6" xfId="3" applyBorder="1" applyAlignment="1">
      <alignment horizontal="center"/>
    </xf>
    <xf numFmtId="0" fontId="1" fillId="0" borderId="6" xfId="3" applyBorder="1" applyAlignment="1">
      <alignment horizontal="left"/>
    </xf>
    <xf numFmtId="2" fontId="1" fillId="0" borderId="6" xfId="3" applyNumberFormat="1" applyBorder="1" applyAlignment="1">
      <alignment horizontal="center"/>
    </xf>
    <xf numFmtId="0" fontId="1" fillId="0" borderId="6" xfId="3" applyBorder="1"/>
    <xf numFmtId="2" fontId="1" fillId="0" borderId="6" xfId="3" applyNumberFormat="1" applyBorder="1"/>
    <xf numFmtId="164" fontId="1" fillId="0" borderId="6" xfId="3" applyNumberFormat="1" applyBorder="1"/>
    <xf numFmtId="167" fontId="1" fillId="0" borderId="6" xfId="3" applyNumberFormat="1" applyBorder="1" applyAlignment="1">
      <alignment horizontal="center"/>
    </xf>
    <xf numFmtId="167" fontId="1" fillId="0" borderId="6" xfId="3" applyNumberFormat="1" applyBorder="1"/>
    <xf numFmtId="0" fontId="1" fillId="0" borderId="6" xfId="3" applyBorder="1" applyAlignment="1">
      <alignment horizontal="center"/>
    </xf>
    <xf numFmtId="167" fontId="1" fillId="0" borderId="6" xfId="3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3" borderId="6" xfId="0" applyNumberFormat="1" applyFill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/>
    <xf numFmtId="1" fontId="0" fillId="0" borderId="6" xfId="0" applyNumberFormat="1" applyBorder="1"/>
    <xf numFmtId="0" fontId="0" fillId="3" borderId="6" xfId="0" applyFill="1" applyBorder="1"/>
    <xf numFmtId="2" fontId="0" fillId="0" borderId="6" xfId="0" applyNumberFormat="1" applyBorder="1"/>
    <xf numFmtId="2" fontId="0" fillId="3" borderId="6" xfId="0" applyNumberFormat="1" applyFill="1" applyBorder="1"/>
    <xf numFmtId="164" fontId="0" fillId="4" borderId="6" xfId="0" applyNumberFormat="1" applyFill="1" applyBorder="1"/>
    <xf numFmtId="10" fontId="0" fillId="0" borderId="0" xfId="1" applyNumberFormat="1" applyFont="1"/>
    <xf numFmtId="164" fontId="0" fillId="5" borderId="6" xfId="0" applyNumberFormat="1" applyFill="1" applyBorder="1"/>
    <xf numFmtId="164" fontId="0" fillId="6" borderId="6" xfId="0" applyNumberFormat="1" applyFill="1" applyBorder="1"/>
    <xf numFmtId="164" fontId="0" fillId="7" borderId="6" xfId="0" applyNumberFormat="1" applyFill="1" applyBorder="1"/>
    <xf numFmtId="164" fontId="0" fillId="0" borderId="6" xfId="0" applyNumberFormat="1" applyBorder="1"/>
    <xf numFmtId="0" fontId="0" fillId="0" borderId="6" xfId="0" applyBorder="1" applyAlignment="1">
      <alignment wrapText="1"/>
    </xf>
    <xf numFmtId="164" fontId="0" fillId="0" borderId="0" xfId="0" applyNumberFormat="1"/>
    <xf numFmtId="0" fontId="10" fillId="0" borderId="0" xfId="4"/>
    <xf numFmtId="0" fontId="0" fillId="8" borderId="6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2" fontId="0" fillId="8" borderId="6" xfId="0" applyNumberFormat="1" applyFill="1" applyBorder="1" applyAlignment="1">
      <alignment horizontal="center"/>
    </xf>
    <xf numFmtId="1" fontId="0" fillId="0" borderId="0" xfId="0" applyNumberFormat="1"/>
    <xf numFmtId="167" fontId="0" fillId="0" borderId="0" xfId="0" applyNumberFormat="1" applyAlignment="1">
      <alignment horizontal="center"/>
    </xf>
    <xf numFmtId="167" fontId="0" fillId="0" borderId="6" xfId="0" applyNumberFormat="1" applyBorder="1" applyAlignment="1">
      <alignment horizontal="center"/>
    </xf>
    <xf numFmtId="167" fontId="0" fillId="0" borderId="0" xfId="0" applyNumberFormat="1"/>
    <xf numFmtId="0" fontId="0" fillId="0" borderId="6" xfId="0" applyBorder="1" applyAlignment="1">
      <alignment horizontal="center"/>
    </xf>
    <xf numFmtId="167" fontId="0" fillId="8" borderId="6" xfId="0" applyNumberFormat="1" applyFill="1" applyBorder="1" applyAlignment="1">
      <alignment horizontal="center"/>
    </xf>
    <xf numFmtId="2" fontId="0" fillId="9" borderId="0" xfId="0" applyNumberFormat="1" applyFill="1"/>
    <xf numFmtId="167" fontId="0" fillId="0" borderId="6" xfId="0" applyNumberFormat="1" applyBorder="1"/>
    <xf numFmtId="2" fontId="0" fillId="0" borderId="0" xfId="0" applyNumberFormat="1"/>
  </cellXfs>
  <cellStyles count="5">
    <cellStyle name="Вывод" xfId="2" builtinId="21"/>
    <cellStyle name="Гиперссылка" xfId="4" builtinId="8"/>
    <cellStyle name="Обычный" xfId="0" builtinId="0"/>
    <cellStyle name="Обычный 2" xfId="3" xr:uid="{DBAEC86A-6AB0-465A-AC1A-561B7C7D305D}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Данные о средней</a:t>
            </a:r>
            <a:r>
              <a:rPr lang="ru-RU" baseline="0"/>
              <a:t> заработной плате</a:t>
            </a:r>
            <a:endParaRPr lang="en-US"/>
          </a:p>
        </c:rich>
      </c:tx>
      <c:layout>
        <c:manualLayout>
          <c:xMode val="edge"/>
          <c:yMode val="edge"/>
          <c:x val="0.44200986436498158"/>
          <c:y val="1.03016912271423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'Компоненты временного ряда ВВП'!$H$2</c:f>
              <c:strCache>
                <c:ptCount val="1"/>
                <c:pt idx="0">
                  <c:v>T+E=yt-Si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2378239416416282E-2"/>
                  <c:y val="-0.1371264084135543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cat>
            <c:numRef>
              <c:f>'Компоненты временного ряда ВВП'!$A$3:$A$42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'Компоненты временного ряда ВВП'!$H$3:$H$42</c:f>
              <c:numCache>
                <c:formatCode>0.00</c:formatCode>
                <c:ptCount val="40"/>
                <c:pt idx="0">
                  <c:v>14393.000347222223</c:v>
                </c:pt>
                <c:pt idx="1">
                  <c:v>16447.857291666667</c:v>
                </c:pt>
                <c:pt idx="2">
                  <c:v>19704.937847222223</c:v>
                </c:pt>
                <c:pt idx="3">
                  <c:v>22439.904513888887</c:v>
                </c:pt>
                <c:pt idx="4">
                  <c:v>15334.400347222225</c:v>
                </c:pt>
                <c:pt idx="5">
                  <c:v>17984.15729166667</c:v>
                </c:pt>
                <c:pt idx="6">
                  <c:v>21245.437847222223</c:v>
                </c:pt>
                <c:pt idx="7">
                  <c:v>24466.104513888888</c:v>
                </c:pt>
                <c:pt idx="8">
                  <c:v>16490.900347222225</c:v>
                </c:pt>
                <c:pt idx="9">
                  <c:v>18690.957291666666</c:v>
                </c:pt>
                <c:pt idx="10">
                  <c:v>22490.037847222222</c:v>
                </c:pt>
                <c:pt idx="11">
                  <c:v>25415.404513888887</c:v>
                </c:pt>
                <c:pt idx="12">
                  <c:v>16908.100347222222</c:v>
                </c:pt>
                <c:pt idx="13">
                  <c:v>19392.15729166667</c:v>
                </c:pt>
                <c:pt idx="14">
                  <c:v>22936.537847222222</c:v>
                </c:pt>
                <c:pt idx="15">
                  <c:v>26379.204513888886</c:v>
                </c:pt>
                <c:pt idx="16">
                  <c:v>18609.100347222222</c:v>
                </c:pt>
                <c:pt idx="17">
                  <c:v>20857.557291666664</c:v>
                </c:pt>
                <c:pt idx="18">
                  <c:v>24419.637847222224</c:v>
                </c:pt>
                <c:pt idx="19">
                  <c:v>27956.804513888888</c:v>
                </c:pt>
                <c:pt idx="20">
                  <c:v>20497.500347222223</c:v>
                </c:pt>
                <c:pt idx="21">
                  <c:v>23909.757291666669</c:v>
                </c:pt>
                <c:pt idx="22">
                  <c:v>27898.237847222223</c:v>
                </c:pt>
                <c:pt idx="23">
                  <c:v>31556.204513888886</c:v>
                </c:pt>
                <c:pt idx="24">
                  <c:v>22631.600347222222</c:v>
                </c:pt>
                <c:pt idx="25">
                  <c:v>25568.557291666664</c:v>
                </c:pt>
                <c:pt idx="26">
                  <c:v>29047.437847222223</c:v>
                </c:pt>
                <c:pt idx="27">
                  <c:v>32360.704513888886</c:v>
                </c:pt>
                <c:pt idx="28">
                  <c:v>22889.000347222223</c:v>
                </c:pt>
                <c:pt idx="29">
                  <c:v>22715.357291666667</c:v>
                </c:pt>
                <c:pt idx="30">
                  <c:v>28487.737847222223</c:v>
                </c:pt>
                <c:pt idx="31">
                  <c:v>33566.104513888888</c:v>
                </c:pt>
                <c:pt idx="32">
                  <c:v>25962.800347222223</c:v>
                </c:pt>
                <c:pt idx="33">
                  <c:v>30825.057291666664</c:v>
                </c:pt>
                <c:pt idx="34">
                  <c:v>36059.937847222223</c:v>
                </c:pt>
                <c:pt idx="35">
                  <c:v>42447.104513888888</c:v>
                </c:pt>
                <c:pt idx="36">
                  <c:v>34421.500347222223</c:v>
                </c:pt>
                <c:pt idx="37">
                  <c:v>35480.157291666663</c:v>
                </c:pt>
                <c:pt idx="38">
                  <c:v>38946.537847222222</c:v>
                </c:pt>
                <c:pt idx="39">
                  <c:v>44587.004513888889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F3-448B-BF78-1CC977CF81C3}"/>
            </c:ext>
          </c:extLst>
        </c:ser>
        <c:ser>
          <c:idx val="1"/>
          <c:order val="1"/>
          <c:tx>
            <c:strRef>
              <c:f>'Компоненты временного ряда ВВП'!$B$2</c:f>
              <c:strCache>
                <c:ptCount val="1"/>
                <c:pt idx="0">
                  <c:v>yt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'Компоненты временного ряда ВВП'!$B$3:$B$42</c:f>
              <c:numCache>
                <c:formatCode>0.00</c:formatCode>
                <c:ptCount val="40"/>
                <c:pt idx="0">
                  <c:v>16370</c:v>
                </c:pt>
                <c:pt idx="1">
                  <c:v>17507.900000000001</c:v>
                </c:pt>
                <c:pt idx="2">
                  <c:v>19003.5</c:v>
                </c:pt>
                <c:pt idx="3">
                  <c:v>20104.3</c:v>
                </c:pt>
                <c:pt idx="4">
                  <c:v>17311.400000000001</c:v>
                </c:pt>
                <c:pt idx="5">
                  <c:v>19044.2</c:v>
                </c:pt>
                <c:pt idx="6">
                  <c:v>20544</c:v>
                </c:pt>
                <c:pt idx="7">
                  <c:v>22130.5</c:v>
                </c:pt>
                <c:pt idx="8">
                  <c:v>18467.900000000001</c:v>
                </c:pt>
                <c:pt idx="9">
                  <c:v>19751</c:v>
                </c:pt>
                <c:pt idx="10">
                  <c:v>21788.6</c:v>
                </c:pt>
                <c:pt idx="11">
                  <c:v>23079.8</c:v>
                </c:pt>
                <c:pt idx="12">
                  <c:v>18885.099999999999</c:v>
                </c:pt>
                <c:pt idx="13">
                  <c:v>20452.2</c:v>
                </c:pt>
                <c:pt idx="14">
                  <c:v>22235.1</c:v>
                </c:pt>
                <c:pt idx="15">
                  <c:v>24043.599999999999</c:v>
                </c:pt>
                <c:pt idx="16">
                  <c:v>20586.099999999999</c:v>
                </c:pt>
                <c:pt idx="17">
                  <c:v>21917.599999999999</c:v>
                </c:pt>
                <c:pt idx="18">
                  <c:v>23718.2</c:v>
                </c:pt>
                <c:pt idx="19">
                  <c:v>25621.200000000001</c:v>
                </c:pt>
                <c:pt idx="20">
                  <c:v>22474.5</c:v>
                </c:pt>
                <c:pt idx="21">
                  <c:v>24969.8</c:v>
                </c:pt>
                <c:pt idx="22">
                  <c:v>27196.799999999999</c:v>
                </c:pt>
                <c:pt idx="23">
                  <c:v>29220.6</c:v>
                </c:pt>
                <c:pt idx="24">
                  <c:v>24608.6</c:v>
                </c:pt>
                <c:pt idx="25">
                  <c:v>26628.6</c:v>
                </c:pt>
                <c:pt idx="26">
                  <c:v>28346</c:v>
                </c:pt>
                <c:pt idx="27">
                  <c:v>30025.1</c:v>
                </c:pt>
                <c:pt idx="28">
                  <c:v>24866</c:v>
                </c:pt>
                <c:pt idx="29">
                  <c:v>23775.4</c:v>
                </c:pt>
                <c:pt idx="30">
                  <c:v>27786.3</c:v>
                </c:pt>
                <c:pt idx="31">
                  <c:v>31230.5</c:v>
                </c:pt>
                <c:pt idx="32">
                  <c:v>27939.8</c:v>
                </c:pt>
                <c:pt idx="33">
                  <c:v>31885.1</c:v>
                </c:pt>
                <c:pt idx="34">
                  <c:v>35358.5</c:v>
                </c:pt>
                <c:pt idx="35">
                  <c:v>40111.5</c:v>
                </c:pt>
                <c:pt idx="36">
                  <c:v>36398.5</c:v>
                </c:pt>
                <c:pt idx="37">
                  <c:v>36540.199999999997</c:v>
                </c:pt>
                <c:pt idx="38">
                  <c:v>38245.1</c:v>
                </c:pt>
                <c:pt idx="39">
                  <c:v>42251.4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F3-448B-BF78-1CC977CF81C3}"/>
            </c:ext>
          </c:extLst>
        </c:ser>
        <c:ser>
          <c:idx val="2"/>
          <c:order val="2"/>
          <c:tx>
            <c:strRef>
              <c:f>'Компоненты временного ряда ВВП'!$J$2</c:f>
              <c:strCache>
                <c:ptCount val="1"/>
                <c:pt idx="0">
                  <c:v>(T+Si) model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'Компоненты временного ряда ВВП'!$J$3:$J$42</c:f>
              <c:numCache>
                <c:formatCode>0.00</c:formatCode>
                <c:ptCount val="40"/>
                <c:pt idx="0">
                  <c:v>17206.779652777775</c:v>
                </c:pt>
                <c:pt idx="1">
                  <c:v>16819.602708333332</c:v>
                </c:pt>
                <c:pt idx="2">
                  <c:v>15587.902152777779</c:v>
                </c:pt>
                <c:pt idx="3">
                  <c:v>14483.515486111111</c:v>
                </c:pt>
                <c:pt idx="4">
                  <c:v>19325.899652777778</c:v>
                </c:pt>
                <c:pt idx="5">
                  <c:v>18938.722708333335</c:v>
                </c:pt>
                <c:pt idx="6">
                  <c:v>17707.022152777776</c:v>
                </c:pt>
                <c:pt idx="7">
                  <c:v>16602.63548611111</c:v>
                </c:pt>
                <c:pt idx="8">
                  <c:v>21445.019652777777</c:v>
                </c:pt>
                <c:pt idx="9">
                  <c:v>21057.84270833333</c:v>
                </c:pt>
                <c:pt idx="10">
                  <c:v>19826.142152777778</c:v>
                </c:pt>
                <c:pt idx="11">
                  <c:v>18721.755486111113</c:v>
                </c:pt>
                <c:pt idx="12">
                  <c:v>23564.139652777776</c:v>
                </c:pt>
                <c:pt idx="13">
                  <c:v>23176.962708333333</c:v>
                </c:pt>
                <c:pt idx="14">
                  <c:v>21945.262152777777</c:v>
                </c:pt>
                <c:pt idx="15">
                  <c:v>20840.875486111112</c:v>
                </c:pt>
                <c:pt idx="16">
                  <c:v>25683.259652777779</c:v>
                </c:pt>
                <c:pt idx="17">
                  <c:v>25296.082708333335</c:v>
                </c:pt>
                <c:pt idx="18">
                  <c:v>24064.382152777776</c:v>
                </c:pt>
                <c:pt idx="19">
                  <c:v>22959.995486111111</c:v>
                </c:pt>
                <c:pt idx="20">
                  <c:v>27802.379652777774</c:v>
                </c:pt>
                <c:pt idx="21">
                  <c:v>27415.202708333331</c:v>
                </c:pt>
                <c:pt idx="22">
                  <c:v>26183.502152777775</c:v>
                </c:pt>
                <c:pt idx="23">
                  <c:v>25079.115486111114</c:v>
                </c:pt>
                <c:pt idx="24">
                  <c:v>29921.499652777777</c:v>
                </c:pt>
                <c:pt idx="25">
                  <c:v>29534.322708333333</c:v>
                </c:pt>
                <c:pt idx="26">
                  <c:v>28302.622152777774</c:v>
                </c:pt>
                <c:pt idx="27">
                  <c:v>27198.235486111113</c:v>
                </c:pt>
                <c:pt idx="28">
                  <c:v>32040.619652777776</c:v>
                </c:pt>
                <c:pt idx="29">
                  <c:v>31653.442708333336</c:v>
                </c:pt>
                <c:pt idx="30">
                  <c:v>30421.742152777777</c:v>
                </c:pt>
                <c:pt idx="31">
                  <c:v>29317.355486111112</c:v>
                </c:pt>
                <c:pt idx="32">
                  <c:v>34159.739652777775</c:v>
                </c:pt>
                <c:pt idx="33">
                  <c:v>33772.562708333331</c:v>
                </c:pt>
                <c:pt idx="34">
                  <c:v>32540.86215277778</c:v>
                </c:pt>
                <c:pt idx="35">
                  <c:v>31436.475486111114</c:v>
                </c:pt>
                <c:pt idx="36">
                  <c:v>36278.859652777777</c:v>
                </c:pt>
                <c:pt idx="37">
                  <c:v>35891.682708333334</c:v>
                </c:pt>
                <c:pt idx="38">
                  <c:v>34659.982152777775</c:v>
                </c:pt>
                <c:pt idx="39">
                  <c:v>33555.595486111109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F3-448B-BF78-1CC977CF8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791848"/>
        <c:axId val="446797248"/>
      </c:lineChart>
      <c:catAx>
        <c:axId val="446791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6797248"/>
        <c:crosses val="autoZero"/>
        <c:auto val="1"/>
        <c:lblAlgn val="ctr"/>
        <c:lblOffset val="100"/>
        <c:noMultiLvlLbl val="0"/>
      </c:catAx>
      <c:valAx>
        <c:axId val="44679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6791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График</a:t>
            </a:r>
            <a:r>
              <a:rPr lang="ru-RU" baseline="0"/>
              <a:t> функции распределения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Страхование2!$B$88</c:f>
              <c:strCache>
                <c:ptCount val="1"/>
                <c:pt idx="0">
                  <c:v>F(x)</c:v>
                </c:pt>
              </c:strCache>
            </c:strRef>
          </c:tx>
          <c:spPr>
            <a:ln w="28575">
              <a:noFill/>
            </a:ln>
          </c:spPr>
          <c:xVal>
            <c:numRef>
              <c:f>Страхование2!$A$89:$A$101</c:f>
              <c:numCache>
                <c:formatCode>General</c:formatCode>
                <c:ptCount val="13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</c:numCache>
            </c:numRef>
          </c:xVal>
          <c:yVal>
            <c:numRef>
              <c:f>Страхование2!$B$89:$B$101</c:f>
              <c:numCache>
                <c:formatCode>0.0000</c:formatCode>
                <c:ptCount val="13"/>
                <c:pt idx="0">
                  <c:v>0</c:v>
                </c:pt>
                <c:pt idx="1">
                  <c:v>4.8770575499285984E-2</c:v>
                </c:pt>
                <c:pt idx="2">
                  <c:v>9.5162581964040482E-2</c:v>
                </c:pt>
                <c:pt idx="3">
                  <c:v>0.13929202357494219</c:v>
                </c:pt>
                <c:pt idx="4">
                  <c:v>0.18126924692201818</c:v>
                </c:pt>
                <c:pt idx="5">
                  <c:v>0.22119921692859512</c:v>
                </c:pt>
                <c:pt idx="6">
                  <c:v>0.25918177931828212</c:v>
                </c:pt>
                <c:pt idx="7">
                  <c:v>0.29531191028128656</c:v>
                </c:pt>
                <c:pt idx="8">
                  <c:v>0.32967995396436067</c:v>
                </c:pt>
                <c:pt idx="9">
                  <c:v>0.36237184837822667</c:v>
                </c:pt>
                <c:pt idx="10">
                  <c:v>0.39346934028736658</c:v>
                </c:pt>
                <c:pt idx="11">
                  <c:v>0.42305018961951335</c:v>
                </c:pt>
                <c:pt idx="12">
                  <c:v>0.45118836390597361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AD-4133-8BDE-08637B1A1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454272"/>
        <c:axId val="134492928"/>
      </c:scatterChart>
      <c:valAx>
        <c:axId val="13445427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34492928"/>
        <c:crosses val="autoZero"/>
        <c:crossBetween val="midCat"/>
        <c:majorUnit val="50"/>
      </c:valAx>
      <c:valAx>
        <c:axId val="134492928"/>
        <c:scaling>
          <c:orientation val="minMax"/>
        </c:scaling>
        <c:delete val="0"/>
        <c:axPos val="l"/>
        <c:majorGridlines/>
        <c:numFmt formatCode="0.0000" sourceLinked="1"/>
        <c:majorTickMark val="out"/>
        <c:minorTickMark val="none"/>
        <c:tickLblPos val="nextTo"/>
        <c:crossAx val="13445427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График функции плотности распределения</a:t>
            </a:r>
            <a:endParaRPr lang="en-US"/>
          </a:p>
        </c:rich>
      </c:tx>
      <c:layout>
        <c:manualLayout>
          <c:xMode val="edge"/>
          <c:yMode val="edge"/>
          <c:x val="0.21747622456283877"/>
          <c:y val="2.5157232704402521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Страхование2!$E$88</c:f>
              <c:strCache>
                <c:ptCount val="1"/>
                <c:pt idx="0">
                  <c:v>f(x)</c:v>
                </c:pt>
              </c:strCache>
            </c:strRef>
          </c:tx>
          <c:spPr>
            <a:ln w="28575">
              <a:noFill/>
            </a:ln>
          </c:spPr>
          <c:xVal>
            <c:numRef>
              <c:f>Страхование2!$D$89:$D$101</c:f>
              <c:numCache>
                <c:formatCode>General</c:formatCode>
                <c:ptCount val="13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</c:numCache>
            </c:numRef>
          </c:xVal>
          <c:yVal>
            <c:numRef>
              <c:f>Страхование2!$E$89:$E$101</c:f>
              <c:numCache>
                <c:formatCode>0.00000</c:formatCode>
                <c:ptCount val="13"/>
                <c:pt idx="0">
                  <c:v>1E-3</c:v>
                </c:pt>
                <c:pt idx="1">
                  <c:v>9.5122942450071404E-4</c:v>
                </c:pt>
                <c:pt idx="2">
                  <c:v>9.048374180359595E-4</c:v>
                </c:pt>
                <c:pt idx="3">
                  <c:v>8.6070797642505783E-4</c:v>
                </c:pt>
                <c:pt idx="4">
                  <c:v>8.1873075307798185E-4</c:v>
                </c:pt>
                <c:pt idx="5">
                  <c:v>7.7880078307140488E-4</c:v>
                </c:pt>
                <c:pt idx="6">
                  <c:v>7.4081822068171788E-4</c:v>
                </c:pt>
                <c:pt idx="7">
                  <c:v>7.0468808971871344E-4</c:v>
                </c:pt>
                <c:pt idx="8">
                  <c:v>6.7032004603563935E-4</c:v>
                </c:pt>
                <c:pt idx="9">
                  <c:v>6.376281516217733E-4</c:v>
                </c:pt>
                <c:pt idx="10">
                  <c:v>6.0653065971263346E-4</c:v>
                </c:pt>
                <c:pt idx="11">
                  <c:v>5.7694981038048667E-4</c:v>
                </c:pt>
                <c:pt idx="12">
                  <c:v>5.4881163609402637E-4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1C-48B3-91B6-0ADBFADAF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578944"/>
        <c:axId val="134580480"/>
      </c:scatterChart>
      <c:valAx>
        <c:axId val="13457894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34580480"/>
        <c:crosses val="autoZero"/>
        <c:crossBetween val="midCat"/>
        <c:majorUnit val="50"/>
      </c:valAx>
      <c:valAx>
        <c:axId val="134580480"/>
        <c:scaling>
          <c:orientation val="minMax"/>
        </c:scaling>
        <c:delete val="0"/>
        <c:axPos val="l"/>
        <c:majorGridlines/>
        <c:numFmt formatCode="0.00000" sourceLinked="1"/>
        <c:majorTickMark val="out"/>
        <c:minorTickMark val="none"/>
        <c:tickLblPos val="nextTo"/>
        <c:crossAx val="1345789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jpeg"/><Relationship Id="rId1" Type="http://schemas.openxmlformats.org/officeDocument/2006/relationships/image" Target="../media/image13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7" Type="http://schemas.openxmlformats.org/officeDocument/2006/relationships/image" Target="../media/image26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38.png"/><Relationship Id="rId3" Type="http://schemas.openxmlformats.org/officeDocument/2006/relationships/chart" Target="../charts/chart3.xml"/><Relationship Id="rId7" Type="http://schemas.openxmlformats.org/officeDocument/2006/relationships/image" Target="../media/image37.png"/><Relationship Id="rId2" Type="http://schemas.openxmlformats.org/officeDocument/2006/relationships/chart" Target="../charts/chart2.xml"/><Relationship Id="rId1" Type="http://schemas.openxmlformats.org/officeDocument/2006/relationships/image" Target="../media/image33.png"/><Relationship Id="rId6" Type="http://schemas.openxmlformats.org/officeDocument/2006/relationships/image" Target="../media/image36.png"/><Relationship Id="rId11" Type="http://schemas.openxmlformats.org/officeDocument/2006/relationships/image" Target="../media/image41.png"/><Relationship Id="rId5" Type="http://schemas.openxmlformats.org/officeDocument/2006/relationships/image" Target="../media/image35.png"/><Relationship Id="rId10" Type="http://schemas.openxmlformats.org/officeDocument/2006/relationships/image" Target="../media/image40.png"/><Relationship Id="rId4" Type="http://schemas.openxmlformats.org/officeDocument/2006/relationships/image" Target="../media/image34.png"/><Relationship Id="rId9" Type="http://schemas.openxmlformats.org/officeDocument/2006/relationships/image" Target="../media/image39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51.png"/><Relationship Id="rId13" Type="http://schemas.openxmlformats.org/officeDocument/2006/relationships/image" Target="../media/image56.png"/><Relationship Id="rId3" Type="http://schemas.openxmlformats.org/officeDocument/2006/relationships/image" Target="../media/image46.png"/><Relationship Id="rId7" Type="http://schemas.openxmlformats.org/officeDocument/2006/relationships/image" Target="../media/image50.png"/><Relationship Id="rId12" Type="http://schemas.openxmlformats.org/officeDocument/2006/relationships/image" Target="../media/image55.png"/><Relationship Id="rId2" Type="http://schemas.openxmlformats.org/officeDocument/2006/relationships/image" Target="../media/image45.png"/><Relationship Id="rId1" Type="http://schemas.openxmlformats.org/officeDocument/2006/relationships/image" Target="../media/image44.png"/><Relationship Id="rId6" Type="http://schemas.openxmlformats.org/officeDocument/2006/relationships/image" Target="../media/image49.png"/><Relationship Id="rId11" Type="http://schemas.openxmlformats.org/officeDocument/2006/relationships/image" Target="../media/image54.png"/><Relationship Id="rId5" Type="http://schemas.openxmlformats.org/officeDocument/2006/relationships/image" Target="../media/image48.png"/><Relationship Id="rId10" Type="http://schemas.openxmlformats.org/officeDocument/2006/relationships/image" Target="../media/image53.png"/><Relationship Id="rId4" Type="http://schemas.openxmlformats.org/officeDocument/2006/relationships/image" Target="../media/image47.png"/><Relationship Id="rId9" Type="http://schemas.openxmlformats.org/officeDocument/2006/relationships/image" Target="../media/image5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9.png"/><Relationship Id="rId2" Type="http://schemas.openxmlformats.org/officeDocument/2006/relationships/image" Target="../media/image58.png"/><Relationship Id="rId1" Type="http://schemas.openxmlformats.org/officeDocument/2006/relationships/image" Target="../media/image57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67.png"/><Relationship Id="rId3" Type="http://schemas.openxmlformats.org/officeDocument/2006/relationships/image" Target="../media/image62.png"/><Relationship Id="rId7" Type="http://schemas.openxmlformats.org/officeDocument/2006/relationships/image" Target="../media/image66.png"/><Relationship Id="rId2" Type="http://schemas.openxmlformats.org/officeDocument/2006/relationships/image" Target="../media/image61.png"/><Relationship Id="rId1" Type="http://schemas.openxmlformats.org/officeDocument/2006/relationships/image" Target="../media/image60.png"/><Relationship Id="rId6" Type="http://schemas.openxmlformats.org/officeDocument/2006/relationships/image" Target="../media/image65.png"/><Relationship Id="rId5" Type="http://schemas.openxmlformats.org/officeDocument/2006/relationships/image" Target="../media/image64.png"/><Relationship Id="rId4" Type="http://schemas.openxmlformats.org/officeDocument/2006/relationships/image" Target="../media/image63.png"/><Relationship Id="rId9" Type="http://schemas.openxmlformats.org/officeDocument/2006/relationships/image" Target="../media/image68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9.png"/><Relationship Id="rId7" Type="http://schemas.openxmlformats.org/officeDocument/2006/relationships/image" Target="../media/image73.png"/><Relationship Id="rId2" Type="http://schemas.openxmlformats.org/officeDocument/2006/relationships/image" Target="../media/image67.png"/><Relationship Id="rId1" Type="http://schemas.openxmlformats.org/officeDocument/2006/relationships/image" Target="../media/image66.png"/><Relationship Id="rId6" Type="http://schemas.openxmlformats.org/officeDocument/2006/relationships/image" Target="../media/image72.png"/><Relationship Id="rId5" Type="http://schemas.openxmlformats.org/officeDocument/2006/relationships/image" Target="../media/image71.png"/><Relationship Id="rId4" Type="http://schemas.openxmlformats.org/officeDocument/2006/relationships/image" Target="../media/image70.pn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1.png"/><Relationship Id="rId3" Type="http://schemas.openxmlformats.org/officeDocument/2006/relationships/image" Target="../media/image76.png"/><Relationship Id="rId7" Type="http://schemas.openxmlformats.org/officeDocument/2006/relationships/image" Target="../media/image80.png"/><Relationship Id="rId2" Type="http://schemas.openxmlformats.org/officeDocument/2006/relationships/image" Target="../media/image75.png"/><Relationship Id="rId1" Type="http://schemas.openxmlformats.org/officeDocument/2006/relationships/image" Target="../media/image74.png"/><Relationship Id="rId6" Type="http://schemas.openxmlformats.org/officeDocument/2006/relationships/image" Target="../media/image79.png"/><Relationship Id="rId5" Type="http://schemas.openxmlformats.org/officeDocument/2006/relationships/image" Target="../media/image78.png"/><Relationship Id="rId10" Type="http://schemas.openxmlformats.org/officeDocument/2006/relationships/image" Target="../media/image83.png"/><Relationship Id="rId4" Type="http://schemas.openxmlformats.org/officeDocument/2006/relationships/image" Target="../media/image77.png"/><Relationship Id="rId9" Type="http://schemas.openxmlformats.org/officeDocument/2006/relationships/image" Target="../media/image82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29.emf"/><Relationship Id="rId2" Type="http://schemas.openxmlformats.org/officeDocument/2006/relationships/image" Target="../media/image28.emf"/><Relationship Id="rId1" Type="http://schemas.openxmlformats.org/officeDocument/2006/relationships/image" Target="../media/image27.emf"/><Relationship Id="rId6" Type="http://schemas.openxmlformats.org/officeDocument/2006/relationships/image" Target="../media/image32.emf"/><Relationship Id="rId5" Type="http://schemas.openxmlformats.org/officeDocument/2006/relationships/image" Target="../media/image31.emf"/><Relationship Id="rId4" Type="http://schemas.openxmlformats.org/officeDocument/2006/relationships/image" Target="../media/image30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43.wmf"/><Relationship Id="rId1" Type="http://schemas.openxmlformats.org/officeDocument/2006/relationships/image" Target="../media/image42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514350</xdr:colOff>
      <xdr:row>2</xdr:row>
      <xdr:rowOff>25399</xdr:rowOff>
    </xdr:from>
    <xdr:to>
      <xdr:col>27</xdr:col>
      <xdr:colOff>406400</xdr:colOff>
      <xdr:row>49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16E4FE0-B97D-4195-A5AA-E1EFF0A864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368301</xdr:colOff>
      <xdr:row>4</xdr:row>
      <xdr:rowOff>139700</xdr:rowOff>
    </xdr:from>
    <xdr:to>
      <xdr:col>15</xdr:col>
      <xdr:colOff>260351</xdr:colOff>
      <xdr:row>8</xdr:row>
      <xdr:rowOff>48820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5F7C925D-194C-40AB-A0ED-1351A3760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67351" y="876300"/>
          <a:ext cx="4768850" cy="645720"/>
        </a:xfrm>
        <a:prstGeom prst="rect">
          <a:avLst/>
        </a:prstGeom>
      </xdr:spPr>
    </xdr:pic>
    <xdr:clientData/>
  </xdr:twoCellAnchor>
  <xdr:twoCellAnchor editAs="oneCell">
    <xdr:from>
      <xdr:col>14</xdr:col>
      <xdr:colOff>77864</xdr:colOff>
      <xdr:row>26</xdr:row>
      <xdr:rowOff>82550</xdr:rowOff>
    </xdr:from>
    <xdr:to>
      <xdr:col>22</xdr:col>
      <xdr:colOff>172516</xdr:colOff>
      <xdr:row>34</xdr:row>
      <xdr:rowOff>28879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1776CD2-AFF7-4D7D-9FC1-239198775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44114" y="4870450"/>
          <a:ext cx="4971452" cy="1419529"/>
        </a:xfrm>
        <a:prstGeom prst="rect">
          <a:avLst/>
        </a:prstGeom>
      </xdr:spPr>
    </xdr:pic>
    <xdr:clientData/>
  </xdr:twoCellAnchor>
  <xdr:twoCellAnchor editAs="oneCell">
    <xdr:from>
      <xdr:col>14</xdr:col>
      <xdr:colOff>349250</xdr:colOff>
      <xdr:row>26</xdr:row>
      <xdr:rowOff>38101</xdr:rowOff>
    </xdr:from>
    <xdr:to>
      <xdr:col>19</xdr:col>
      <xdr:colOff>323850</xdr:colOff>
      <xdr:row>27</xdr:row>
      <xdr:rowOff>10189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B011D7C-A2DD-4BFF-AC14-5412AFF39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15500" y="4826001"/>
          <a:ext cx="3022600" cy="156238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18</xdr:row>
      <xdr:rowOff>105296</xdr:rowOff>
    </xdr:from>
    <xdr:to>
      <xdr:col>10</xdr:col>
      <xdr:colOff>480160</xdr:colOff>
      <xdr:row>21</xdr:row>
      <xdr:rowOff>133471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EF9EB076-814D-4DB9-8D29-B1DC333FA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17950" y="3419996"/>
          <a:ext cx="3490060" cy="580625"/>
        </a:xfrm>
        <a:prstGeom prst="rect">
          <a:avLst/>
        </a:prstGeom>
      </xdr:spPr>
    </xdr:pic>
    <xdr:clientData/>
  </xdr:twoCellAnchor>
  <xdr:twoCellAnchor editAs="oneCell">
    <xdr:from>
      <xdr:col>5</xdr:col>
      <xdr:colOff>184151</xdr:colOff>
      <xdr:row>21</xdr:row>
      <xdr:rowOff>127000</xdr:rowOff>
    </xdr:from>
    <xdr:to>
      <xdr:col>10</xdr:col>
      <xdr:colOff>444501</xdr:colOff>
      <xdr:row>25</xdr:row>
      <xdr:rowOff>143097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6D2AFB1C-4086-4B80-856D-EE39128A5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25901" y="3994150"/>
          <a:ext cx="3346450" cy="752697"/>
        </a:xfrm>
        <a:prstGeom prst="rect">
          <a:avLst/>
        </a:prstGeom>
      </xdr:spPr>
    </xdr:pic>
    <xdr:clientData/>
  </xdr:twoCellAnchor>
  <xdr:twoCellAnchor editAs="oneCell">
    <xdr:from>
      <xdr:col>2</xdr:col>
      <xdr:colOff>463550</xdr:colOff>
      <xdr:row>37</xdr:row>
      <xdr:rowOff>146051</xdr:rowOff>
    </xdr:from>
    <xdr:to>
      <xdr:col>4</xdr:col>
      <xdr:colOff>44450</xdr:colOff>
      <xdr:row>39</xdr:row>
      <xdr:rowOff>177801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5FF8DB18-DECC-4798-8BCB-DA4E1BDE1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76500" y="6959601"/>
          <a:ext cx="800100" cy="400050"/>
        </a:xfrm>
        <a:prstGeom prst="rect">
          <a:avLst/>
        </a:prstGeom>
      </xdr:spPr>
    </xdr:pic>
    <xdr:clientData/>
  </xdr:twoCellAnchor>
  <xdr:twoCellAnchor editAs="oneCell">
    <xdr:from>
      <xdr:col>7</xdr:col>
      <xdr:colOff>177800</xdr:colOff>
      <xdr:row>40</xdr:row>
      <xdr:rowOff>146051</xdr:rowOff>
    </xdr:from>
    <xdr:to>
      <xdr:col>9</xdr:col>
      <xdr:colOff>495300</xdr:colOff>
      <xdr:row>42</xdr:row>
      <xdr:rowOff>99351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FD51672-64CA-4D49-9A5A-4C6C6BDE6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276850" y="7512051"/>
          <a:ext cx="1536700" cy="505750"/>
        </a:xfrm>
        <a:prstGeom prst="rect">
          <a:avLst/>
        </a:prstGeom>
      </xdr:spPr>
    </xdr:pic>
    <xdr:clientData/>
  </xdr:twoCellAnchor>
  <xdr:twoCellAnchor editAs="oneCell">
    <xdr:from>
      <xdr:col>2</xdr:col>
      <xdr:colOff>88901</xdr:colOff>
      <xdr:row>41</xdr:row>
      <xdr:rowOff>355601</xdr:rowOff>
    </xdr:from>
    <xdr:to>
      <xdr:col>3</xdr:col>
      <xdr:colOff>355600</xdr:colOff>
      <xdr:row>43</xdr:row>
      <xdr:rowOff>109311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8E42C5B-CA42-4996-A74F-97A35F5E9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01851" y="7905751"/>
          <a:ext cx="876299" cy="490310"/>
        </a:xfrm>
        <a:prstGeom prst="rect">
          <a:avLst/>
        </a:prstGeom>
      </xdr:spPr>
    </xdr:pic>
    <xdr:clientData/>
  </xdr:twoCellAnchor>
  <xdr:twoCellAnchor editAs="oneCell">
    <xdr:from>
      <xdr:col>6</xdr:col>
      <xdr:colOff>400051</xdr:colOff>
      <xdr:row>45</xdr:row>
      <xdr:rowOff>495300</xdr:rowOff>
    </xdr:from>
    <xdr:to>
      <xdr:col>11</xdr:col>
      <xdr:colOff>190500</xdr:colOff>
      <xdr:row>46</xdr:row>
      <xdr:rowOff>222677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7BD7A418-6F77-4D45-902D-FE028F470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889501" y="9334500"/>
          <a:ext cx="2838449" cy="46397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63501</xdr:colOff>
      <xdr:row>4</xdr:row>
      <xdr:rowOff>57150</xdr:rowOff>
    </xdr:from>
    <xdr:to>
      <xdr:col>7</xdr:col>
      <xdr:colOff>425451</xdr:colOff>
      <xdr:row>7</xdr:row>
      <xdr:rowOff>97859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D042C04B-9269-465A-BF7F-613C906E8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11501" y="793750"/>
          <a:ext cx="1701800" cy="593159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7</xdr:row>
      <xdr:rowOff>38100</xdr:rowOff>
    </xdr:from>
    <xdr:to>
      <xdr:col>8</xdr:col>
      <xdr:colOff>482600</xdr:colOff>
      <xdr:row>9</xdr:row>
      <xdr:rowOff>84112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74C6CA8-D731-4989-84B1-924D73DD6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05150" y="1327150"/>
          <a:ext cx="2374900" cy="414312"/>
        </a:xfrm>
        <a:prstGeom prst="rect">
          <a:avLst/>
        </a:prstGeom>
      </xdr:spPr>
    </xdr:pic>
    <xdr:clientData/>
  </xdr:twoCellAnchor>
  <xdr:twoCellAnchor editAs="oneCell">
    <xdr:from>
      <xdr:col>5</xdr:col>
      <xdr:colOff>44450</xdr:colOff>
      <xdr:row>9</xdr:row>
      <xdr:rowOff>177801</xdr:rowOff>
    </xdr:from>
    <xdr:to>
      <xdr:col>8</xdr:col>
      <xdr:colOff>317500</xdr:colOff>
      <xdr:row>11</xdr:row>
      <xdr:rowOff>162609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4EB85EDC-CEBF-41C3-BCDB-C6A30A90B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92450" y="1835151"/>
          <a:ext cx="2222500" cy="3531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2571750</xdr:colOff>
      <xdr:row>22</xdr:row>
      <xdr:rowOff>25400</xdr:rowOff>
    </xdr:to>
    <xdr:pic>
      <xdr:nvPicPr>
        <xdr:cNvPr id="2" name="Рисунок 1" descr="расчет коэффициента конкордации">
          <a:extLst>
            <a:ext uri="{FF2B5EF4-FFF2-40B4-BE49-F238E27FC236}">
              <a16:creationId xmlns:a16="http://schemas.microsoft.com/office/drawing/2014/main" id="{58459EC8-CC74-4A8D-A480-E5B8EA2AF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71750" cy="407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438150</xdr:colOff>
      <xdr:row>21</xdr:row>
      <xdr:rowOff>146050</xdr:rowOff>
    </xdr:from>
    <xdr:to>
      <xdr:col>0</xdr:col>
      <xdr:colOff>2146300</xdr:colOff>
      <xdr:row>25</xdr:row>
      <xdr:rowOff>121993</xdr:rowOff>
    </xdr:to>
    <xdr:pic>
      <xdr:nvPicPr>
        <xdr:cNvPr id="3" name="Рисунок 2" descr="коэффициент конкордации формула">
          <a:extLst>
            <a:ext uri="{FF2B5EF4-FFF2-40B4-BE49-F238E27FC236}">
              <a16:creationId xmlns:a16="http://schemas.microsoft.com/office/drawing/2014/main" id="{1B37FCCA-801A-4EFA-83C7-5A06CE241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4013200"/>
          <a:ext cx="1708150" cy="712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520701</xdr:colOff>
      <xdr:row>4</xdr:row>
      <xdr:rowOff>133351</xdr:rowOff>
    </xdr:from>
    <xdr:to>
      <xdr:col>9</xdr:col>
      <xdr:colOff>508000</xdr:colOff>
      <xdr:row>12</xdr:row>
      <xdr:rowOff>34973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FEC852D-B2CF-4F1B-9F7B-8A613341A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46501" y="869951"/>
          <a:ext cx="4787899" cy="1374822"/>
        </a:xfrm>
        <a:prstGeom prst="rect">
          <a:avLst/>
        </a:prstGeom>
      </xdr:spPr>
    </xdr:pic>
    <xdr:clientData/>
  </xdr:twoCellAnchor>
  <xdr:twoCellAnchor editAs="oneCell">
    <xdr:from>
      <xdr:col>2</xdr:col>
      <xdr:colOff>533400</xdr:colOff>
      <xdr:row>12</xdr:row>
      <xdr:rowOff>6350</xdr:rowOff>
    </xdr:from>
    <xdr:to>
      <xdr:col>7</xdr:col>
      <xdr:colOff>200367</xdr:colOff>
      <xdr:row>32</xdr:row>
      <xdr:rowOff>133350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22D495AB-C0AC-4FEC-9996-98435DDE9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59200" y="2216150"/>
          <a:ext cx="3248367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6</xdr:col>
      <xdr:colOff>114300</xdr:colOff>
      <xdr:row>91</xdr:row>
      <xdr:rowOff>47567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8BC9AD70-CC8F-4F23-B6A4-CEE20996A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67250" y="16205200"/>
          <a:ext cx="1644650" cy="600017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93</xdr:row>
      <xdr:rowOff>0</xdr:rowOff>
    </xdr:from>
    <xdr:to>
      <xdr:col>6</xdr:col>
      <xdr:colOff>577851</xdr:colOff>
      <xdr:row>96</xdr:row>
      <xdr:rowOff>172565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17738F83-F65F-4E86-94B1-D59A4FBB9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67251" y="17125950"/>
          <a:ext cx="2108200" cy="725015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98</xdr:row>
      <xdr:rowOff>0</xdr:rowOff>
    </xdr:from>
    <xdr:to>
      <xdr:col>6</xdr:col>
      <xdr:colOff>431801</xdr:colOff>
      <xdr:row>100</xdr:row>
      <xdr:rowOff>39960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2662C3AD-9385-43E3-AAAF-2FBE18799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67251" y="18046700"/>
          <a:ext cx="1962150" cy="40826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13</xdr:row>
      <xdr:rowOff>47625</xdr:rowOff>
    </xdr:from>
    <xdr:to>
      <xdr:col>5</xdr:col>
      <xdr:colOff>361950</xdr:colOff>
      <xdr:row>14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C99F62-2135-4988-91D1-218C78453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136650" y="2441575"/>
          <a:ext cx="2876550" cy="3079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19</xdr:row>
      <xdr:rowOff>0</xdr:rowOff>
    </xdr:from>
    <xdr:to>
      <xdr:col>8</xdr:col>
      <xdr:colOff>200025</xdr:colOff>
      <xdr:row>20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1FA80D-681D-4830-AFD7-08C653478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098550" y="3498850"/>
          <a:ext cx="5019675" cy="1841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40</xdr:row>
      <xdr:rowOff>0</xdr:rowOff>
    </xdr:from>
    <xdr:to>
      <xdr:col>5</xdr:col>
      <xdr:colOff>323850</xdr:colOff>
      <xdr:row>41</xdr:row>
      <xdr:rowOff>123825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6DAD65A0-910C-4EB8-8D67-6AA12A442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098550" y="7550150"/>
          <a:ext cx="2876550" cy="3079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47</xdr:row>
      <xdr:rowOff>0</xdr:rowOff>
    </xdr:from>
    <xdr:to>
      <xdr:col>5</xdr:col>
      <xdr:colOff>285750</xdr:colOff>
      <xdr:row>49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D500D9F-468A-453B-97AB-7A22A8355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098550" y="8839200"/>
          <a:ext cx="2838450" cy="3683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54</xdr:row>
      <xdr:rowOff>0</xdr:rowOff>
    </xdr:from>
    <xdr:to>
      <xdr:col>8</xdr:col>
      <xdr:colOff>200025</xdr:colOff>
      <xdr:row>55</xdr:row>
      <xdr:rowOff>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CCF5BB4B-2946-4743-B4F4-C50BB9177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098550" y="10128250"/>
          <a:ext cx="5019675" cy="1841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64</xdr:row>
      <xdr:rowOff>161925</xdr:rowOff>
    </xdr:from>
    <xdr:to>
      <xdr:col>5</xdr:col>
      <xdr:colOff>149225</xdr:colOff>
      <xdr:row>70</xdr:row>
      <xdr:rowOff>85725</xdr:rowOff>
    </xdr:to>
    <xdr:pic>
      <xdr:nvPicPr>
        <xdr:cNvPr id="7" name="Picture 8">
          <a:extLst>
            <a:ext uri="{FF2B5EF4-FFF2-40B4-BE49-F238E27FC236}">
              <a16:creationId xmlns:a16="http://schemas.microsoft.com/office/drawing/2014/main" id="{419D2035-C238-4485-BE24-D1A56004D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917700" y="12315825"/>
          <a:ext cx="2200275" cy="10287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19051</xdr:colOff>
      <xdr:row>80</xdr:row>
      <xdr:rowOff>29609</xdr:rowOff>
    </xdr:from>
    <xdr:to>
      <xdr:col>5</xdr:col>
      <xdr:colOff>187326</xdr:colOff>
      <xdr:row>86</xdr:row>
      <xdr:rowOff>9524</xdr:rowOff>
    </xdr:to>
    <xdr:pic>
      <xdr:nvPicPr>
        <xdr:cNvPr id="8" name="Picture 10">
          <a:extLst>
            <a:ext uri="{FF2B5EF4-FFF2-40B4-BE49-F238E27FC236}">
              <a16:creationId xmlns:a16="http://schemas.microsoft.com/office/drawing/2014/main" id="{A73B20BA-BF3A-4247-B1D6-634D543D6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784351" y="15129909"/>
          <a:ext cx="2371725" cy="108481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942975</xdr:colOff>
      <xdr:row>105</xdr:row>
      <xdr:rowOff>76200</xdr:rowOff>
    </xdr:from>
    <xdr:to>
      <xdr:col>6</xdr:col>
      <xdr:colOff>206375</xdr:colOff>
      <xdr:row>110</xdr:row>
      <xdr:rowOff>85725</xdr:rowOff>
    </xdr:to>
    <xdr:pic>
      <xdr:nvPicPr>
        <xdr:cNvPr id="9" name="Picture 12">
          <a:extLst>
            <a:ext uri="{FF2B5EF4-FFF2-40B4-BE49-F238E27FC236}">
              <a16:creationId xmlns:a16="http://schemas.microsoft.com/office/drawing/2014/main" id="{946B4E42-1579-4FDD-AAB1-5FDD04A70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942975" y="19780250"/>
          <a:ext cx="3962400" cy="9302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1019175</xdr:colOff>
      <xdr:row>133</xdr:row>
      <xdr:rowOff>161925</xdr:rowOff>
    </xdr:from>
    <xdr:to>
      <xdr:col>6</xdr:col>
      <xdr:colOff>25400</xdr:colOff>
      <xdr:row>138</xdr:row>
      <xdr:rowOff>123825</xdr:rowOff>
    </xdr:to>
    <xdr:pic>
      <xdr:nvPicPr>
        <xdr:cNvPr id="10" name="Picture 14">
          <a:extLst>
            <a:ext uri="{FF2B5EF4-FFF2-40B4-BE49-F238E27FC236}">
              <a16:creationId xmlns:a16="http://schemas.microsoft.com/office/drawing/2014/main" id="{72235A51-B8EB-4B0B-9782-E0EE9BB2D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1019175" y="25022175"/>
          <a:ext cx="3705225" cy="882650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1038225</xdr:colOff>
      <xdr:row>65</xdr:row>
      <xdr:rowOff>104775</xdr:rowOff>
    </xdr:from>
    <xdr:to>
      <xdr:col>3</xdr:col>
      <xdr:colOff>847725</xdr:colOff>
      <xdr:row>68</xdr:row>
      <xdr:rowOff>180975</xdr:rowOff>
    </xdr:to>
    <xdr:pic>
      <xdr:nvPicPr>
        <xdr:cNvPr id="2" name="Picture 8">
          <a:extLst>
            <a:ext uri="{FF2B5EF4-FFF2-40B4-BE49-F238E27FC236}">
              <a16:creationId xmlns:a16="http://schemas.microsoft.com/office/drawing/2014/main" id="{23B46A46-B07D-4F58-813B-3EAEF33CF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971925" y="12074525"/>
          <a:ext cx="1765300" cy="628650"/>
        </a:xfrm>
        <a:prstGeom prst="rect">
          <a:avLst/>
        </a:prstGeom>
        <a:noFill/>
      </xdr:spPr>
    </xdr:pic>
    <xdr:clientData/>
  </xdr:twoCellAnchor>
  <xdr:twoCellAnchor>
    <xdr:from>
      <xdr:col>0</xdr:col>
      <xdr:colOff>161925</xdr:colOff>
      <xdr:row>104</xdr:row>
      <xdr:rowOff>171449</xdr:rowOff>
    </xdr:from>
    <xdr:to>
      <xdr:col>4</xdr:col>
      <xdr:colOff>990600</xdr:colOff>
      <xdr:row>125</xdr:row>
      <xdr:rowOff>142874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6A9DA3A-03A6-4736-B3EF-38C798EC66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1133474</xdr:colOff>
      <xdr:row>104</xdr:row>
      <xdr:rowOff>171450</xdr:rowOff>
    </xdr:from>
    <xdr:to>
      <xdr:col>11</xdr:col>
      <xdr:colOff>133349</xdr:colOff>
      <xdr:row>125</xdr:row>
      <xdr:rowOff>161925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5BC6D2D8-55C5-4EB5-A3C0-CDC340F9A3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733425</xdr:colOff>
      <xdr:row>160</xdr:row>
      <xdr:rowOff>133350</xdr:rowOff>
    </xdr:from>
    <xdr:to>
      <xdr:col>1</xdr:col>
      <xdr:colOff>1190625</xdr:colOff>
      <xdr:row>165</xdr:row>
      <xdr:rowOff>38100</xdr:rowOff>
    </xdr:to>
    <xdr:pic>
      <xdr:nvPicPr>
        <xdr:cNvPr id="5" name="Picture 10">
          <a:extLst>
            <a:ext uri="{FF2B5EF4-FFF2-40B4-BE49-F238E27FC236}">
              <a16:creationId xmlns:a16="http://schemas.microsoft.com/office/drawing/2014/main" id="{B126AB75-F460-40C7-9285-D82C9BE21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733425" y="29597350"/>
          <a:ext cx="1981200" cy="8255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838200</xdr:colOff>
      <xdr:row>165</xdr:row>
      <xdr:rowOff>123825</xdr:rowOff>
    </xdr:from>
    <xdr:to>
      <xdr:col>1</xdr:col>
      <xdr:colOff>1114425</xdr:colOff>
      <xdr:row>169</xdr:row>
      <xdr:rowOff>85725</xdr:rowOff>
    </xdr:to>
    <xdr:pic>
      <xdr:nvPicPr>
        <xdr:cNvPr id="6" name="Picture 12">
          <a:extLst>
            <a:ext uri="{FF2B5EF4-FFF2-40B4-BE49-F238E27FC236}">
              <a16:creationId xmlns:a16="http://schemas.microsoft.com/office/drawing/2014/main" id="{E4F3D8B4-F9A0-4EC6-9AD1-B7A7DBE56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838200" y="30508575"/>
          <a:ext cx="1800225" cy="6985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19050</xdr:colOff>
      <xdr:row>161</xdr:row>
      <xdr:rowOff>0</xdr:rowOff>
    </xdr:from>
    <xdr:to>
      <xdr:col>6</xdr:col>
      <xdr:colOff>790575</xdr:colOff>
      <xdr:row>164</xdr:row>
      <xdr:rowOff>161925</xdr:rowOff>
    </xdr:to>
    <xdr:pic>
      <xdr:nvPicPr>
        <xdr:cNvPr id="7" name="Picture 14">
          <a:extLst>
            <a:ext uri="{FF2B5EF4-FFF2-40B4-BE49-F238E27FC236}">
              <a16:creationId xmlns:a16="http://schemas.microsoft.com/office/drawing/2014/main" id="{2352124F-2141-4B11-88ED-689447BB7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4908550" y="29648150"/>
          <a:ext cx="4435475" cy="7143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1066800</xdr:colOff>
      <xdr:row>187</xdr:row>
      <xdr:rowOff>152400</xdr:rowOff>
    </xdr:from>
    <xdr:to>
      <xdr:col>1</xdr:col>
      <xdr:colOff>1209675</xdr:colOff>
      <xdr:row>191</xdr:row>
      <xdr:rowOff>76200</xdr:rowOff>
    </xdr:to>
    <xdr:pic>
      <xdr:nvPicPr>
        <xdr:cNvPr id="8" name="Picture 17">
          <a:extLst>
            <a:ext uri="{FF2B5EF4-FFF2-40B4-BE49-F238E27FC236}">
              <a16:creationId xmlns:a16="http://schemas.microsoft.com/office/drawing/2014/main" id="{3695B298-5760-4C4B-8656-BB9EDA31A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066800" y="34588450"/>
          <a:ext cx="1666875" cy="660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95250</xdr:colOff>
      <xdr:row>198</xdr:row>
      <xdr:rowOff>95250</xdr:rowOff>
    </xdr:from>
    <xdr:to>
      <xdr:col>4</xdr:col>
      <xdr:colOff>809625</xdr:colOff>
      <xdr:row>210</xdr:row>
      <xdr:rowOff>85709</xdr:rowOff>
    </xdr:to>
    <xdr:pic>
      <xdr:nvPicPr>
        <xdr:cNvPr id="9" name="Picture 19">
          <a:extLst>
            <a:ext uri="{FF2B5EF4-FFF2-40B4-BE49-F238E27FC236}">
              <a16:creationId xmlns:a16="http://schemas.microsoft.com/office/drawing/2014/main" id="{6A036181-C96B-4704-8EC3-BC63648F7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1619250" y="36556950"/>
          <a:ext cx="5229225" cy="2200259"/>
        </a:xfrm>
        <a:prstGeom prst="rect">
          <a:avLst/>
        </a:prstGeom>
        <a:noFill/>
      </xdr:spPr>
    </xdr:pic>
    <xdr:clientData/>
  </xdr:twoCellAnchor>
  <xdr:twoCellAnchor>
    <xdr:from>
      <xdr:col>1</xdr:col>
      <xdr:colOff>85725</xdr:colOff>
      <xdr:row>212</xdr:row>
      <xdr:rowOff>180975</xdr:rowOff>
    </xdr:from>
    <xdr:to>
      <xdr:col>2</xdr:col>
      <xdr:colOff>200025</xdr:colOff>
      <xdr:row>215</xdr:row>
      <xdr:rowOff>171450</xdr:rowOff>
    </xdr:to>
    <xdr:pic>
      <xdr:nvPicPr>
        <xdr:cNvPr id="10" name="Picture 20">
          <a:extLst>
            <a:ext uri="{FF2B5EF4-FFF2-40B4-BE49-F238E27FC236}">
              <a16:creationId xmlns:a16="http://schemas.microsoft.com/office/drawing/2014/main" id="{5AF8FED2-8CF7-4A67-846D-DD2E2853C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609725" y="39220775"/>
          <a:ext cx="1524000" cy="5429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161925</xdr:colOff>
      <xdr:row>218</xdr:row>
      <xdr:rowOff>57150</xdr:rowOff>
    </xdr:from>
    <xdr:to>
      <xdr:col>2</xdr:col>
      <xdr:colOff>1847850</xdr:colOff>
      <xdr:row>221</xdr:row>
      <xdr:rowOff>19050</xdr:rowOff>
    </xdr:to>
    <xdr:pic>
      <xdr:nvPicPr>
        <xdr:cNvPr id="11" name="Picture 21">
          <a:extLst>
            <a:ext uri="{FF2B5EF4-FFF2-40B4-BE49-F238E27FC236}">
              <a16:creationId xmlns:a16="http://schemas.microsoft.com/office/drawing/2014/main" id="{C8AFBE13-1FD6-4E99-9EE7-1646B69DD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685925" y="40201850"/>
          <a:ext cx="3095625" cy="514350"/>
        </a:xfrm>
        <a:prstGeom prst="rect">
          <a:avLst/>
        </a:prstGeom>
        <a:noFill/>
      </xdr:spPr>
    </xdr:pic>
    <xdr:clientData/>
  </xdr:twoCellAnchor>
  <xdr:twoCellAnchor>
    <xdr:from>
      <xdr:col>3</xdr:col>
      <xdr:colOff>438150</xdr:colOff>
      <xdr:row>218</xdr:row>
      <xdr:rowOff>38100</xdr:rowOff>
    </xdr:from>
    <xdr:to>
      <xdr:col>6</xdr:col>
      <xdr:colOff>523875</xdr:colOff>
      <xdr:row>221</xdr:row>
      <xdr:rowOff>0</xdr:rowOff>
    </xdr:to>
    <xdr:pic>
      <xdr:nvPicPr>
        <xdr:cNvPr id="12" name="Picture 22">
          <a:extLst>
            <a:ext uri="{FF2B5EF4-FFF2-40B4-BE49-F238E27FC236}">
              <a16:creationId xmlns:a16="http://schemas.microsoft.com/office/drawing/2014/main" id="{E9E80159-DAC0-43CB-A25E-8A8B057E1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5327650" y="40182800"/>
          <a:ext cx="3749675" cy="514350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666750</xdr:colOff>
          <xdr:row>18</xdr:row>
          <xdr:rowOff>38100</xdr:rowOff>
        </xdr:from>
        <xdr:to>
          <xdr:col>1</xdr:col>
          <xdr:colOff>539750</xdr:colOff>
          <xdr:row>20</xdr:row>
          <xdr:rowOff>44450</xdr:rowOff>
        </xdr:to>
        <xdr:sp macro="" textlink="">
          <xdr:nvSpPr>
            <xdr:cNvPr id="9217" name="Object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CA70813B-C80A-435C-B04D-449C187E5B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793750</xdr:colOff>
          <xdr:row>20</xdr:row>
          <xdr:rowOff>0</xdr:rowOff>
        </xdr:from>
        <xdr:to>
          <xdr:col>2</xdr:col>
          <xdr:colOff>247650</xdr:colOff>
          <xdr:row>24</xdr:row>
          <xdr:rowOff>0</xdr:rowOff>
        </xdr:to>
        <xdr:sp macro="" textlink="">
          <xdr:nvSpPr>
            <xdr:cNvPr id="9218" name="Object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6289B2C2-EB95-4836-B058-EB33DA4074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412750</xdr:colOff>
          <xdr:row>23</xdr:row>
          <xdr:rowOff>76200</xdr:rowOff>
        </xdr:from>
        <xdr:to>
          <xdr:col>2</xdr:col>
          <xdr:colOff>635000</xdr:colOff>
          <xdr:row>25</xdr:row>
          <xdr:rowOff>63500</xdr:rowOff>
        </xdr:to>
        <xdr:sp macro="" textlink="">
          <xdr:nvSpPr>
            <xdr:cNvPr id="9219" name="Object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9E926BC-2E08-4466-B342-4C397B5E09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463550</xdr:colOff>
          <xdr:row>25</xdr:row>
          <xdr:rowOff>114300</xdr:rowOff>
        </xdr:from>
        <xdr:to>
          <xdr:col>2</xdr:col>
          <xdr:colOff>482600</xdr:colOff>
          <xdr:row>29</xdr:row>
          <xdr:rowOff>19050</xdr:rowOff>
        </xdr:to>
        <xdr:sp macro="" textlink="">
          <xdr:nvSpPr>
            <xdr:cNvPr id="9220" name="Object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C476D239-0177-475C-B452-5B14E9E3A6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171450</xdr:colOff>
          <xdr:row>66</xdr:row>
          <xdr:rowOff>19050</xdr:rowOff>
        </xdr:from>
        <xdr:to>
          <xdr:col>1</xdr:col>
          <xdr:colOff>590550</xdr:colOff>
          <xdr:row>68</xdr:row>
          <xdr:rowOff>88900</xdr:rowOff>
        </xdr:to>
        <xdr:sp macro="" textlink="">
          <xdr:nvSpPr>
            <xdr:cNvPr id="9221" name="Object 5" hidden="1">
              <a:extLst>
                <a:ext uri="{63B3BB69-23CF-44E3-9099-C40C66FF867C}">
                  <a14:compatExt spid="_x0000_s9221"/>
                </a:ext>
                <a:ext uri="{FF2B5EF4-FFF2-40B4-BE49-F238E27FC236}">
                  <a16:creationId xmlns:a16="http://schemas.microsoft.com/office/drawing/2014/main" id="{5C691A4E-EB3D-458A-9628-BAFC0AFCD9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876300</xdr:colOff>
          <xdr:row>65</xdr:row>
          <xdr:rowOff>69850</xdr:rowOff>
        </xdr:from>
        <xdr:to>
          <xdr:col>2</xdr:col>
          <xdr:colOff>400050</xdr:colOff>
          <xdr:row>68</xdr:row>
          <xdr:rowOff>107950</xdr:rowOff>
        </xdr:to>
        <xdr:sp macro="" textlink="">
          <xdr:nvSpPr>
            <xdr:cNvPr id="9222" name="Object 6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6551A424-C1DB-4BEC-A046-F5A7AEDD7F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65</xdr:row>
      <xdr:rowOff>0</xdr:rowOff>
    </xdr:from>
    <xdr:to>
      <xdr:col>3</xdr:col>
      <xdr:colOff>981075</xdr:colOff>
      <xdr:row>65</xdr:row>
      <xdr:rowOff>180975</xdr:rowOff>
    </xdr:to>
    <xdr:pic>
      <xdr:nvPicPr>
        <xdr:cNvPr id="2" name="Picture 9">
          <a:extLst>
            <a:ext uri="{FF2B5EF4-FFF2-40B4-BE49-F238E27FC236}">
              <a16:creationId xmlns:a16="http://schemas.microsoft.com/office/drawing/2014/main" id="{B9414241-4AB4-459E-9335-721A370F1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828800" y="11969750"/>
          <a:ext cx="981075" cy="180975"/>
        </a:xfrm>
        <a:prstGeom prst="rect">
          <a:avLst/>
        </a:prstGeom>
        <a:noFill/>
      </xdr:spPr>
    </xdr:pic>
    <xdr:clientData/>
  </xdr:twoCellAnchor>
  <xdr:twoCellAnchor>
    <xdr:from>
      <xdr:col>3</xdr:col>
      <xdr:colOff>9525</xdr:colOff>
      <xdr:row>66</xdr:row>
      <xdr:rowOff>19050</xdr:rowOff>
    </xdr:from>
    <xdr:to>
      <xdr:col>4</xdr:col>
      <xdr:colOff>438150</xdr:colOff>
      <xdr:row>67</xdr:row>
      <xdr:rowOff>9525</xdr:rowOff>
    </xdr:to>
    <xdr:pic>
      <xdr:nvPicPr>
        <xdr:cNvPr id="3" name="Picture 10">
          <a:extLst>
            <a:ext uri="{FF2B5EF4-FFF2-40B4-BE49-F238E27FC236}">
              <a16:creationId xmlns:a16="http://schemas.microsoft.com/office/drawing/2014/main" id="{DDBCE2B2-8D24-4C28-85DC-33059848D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838325" y="12172950"/>
          <a:ext cx="1476375" cy="174625"/>
        </a:xfrm>
        <a:prstGeom prst="rect">
          <a:avLst/>
        </a:prstGeom>
        <a:noFill/>
      </xdr:spPr>
    </xdr:pic>
    <xdr:clientData/>
  </xdr:twoCellAnchor>
  <xdr:twoCellAnchor>
    <xdr:from>
      <xdr:col>3</xdr:col>
      <xdr:colOff>9525</xdr:colOff>
      <xdr:row>67</xdr:row>
      <xdr:rowOff>66675</xdr:rowOff>
    </xdr:from>
    <xdr:to>
      <xdr:col>4</xdr:col>
      <xdr:colOff>361950</xdr:colOff>
      <xdr:row>68</xdr:row>
      <xdr:rowOff>57150</xdr:rowOff>
    </xdr:to>
    <xdr:pic>
      <xdr:nvPicPr>
        <xdr:cNvPr id="4" name="Picture 11">
          <a:extLst>
            <a:ext uri="{FF2B5EF4-FFF2-40B4-BE49-F238E27FC236}">
              <a16:creationId xmlns:a16="http://schemas.microsoft.com/office/drawing/2014/main" id="{A6B7AE7F-DC9C-4D88-AEAC-82EE10A4A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838325" y="12404725"/>
          <a:ext cx="1400175" cy="174625"/>
        </a:xfrm>
        <a:prstGeom prst="rect">
          <a:avLst/>
        </a:prstGeom>
        <a:noFill/>
      </xdr:spPr>
    </xdr:pic>
    <xdr:clientData/>
  </xdr:twoCellAnchor>
  <xdr:twoCellAnchor>
    <xdr:from>
      <xdr:col>3</xdr:col>
      <xdr:colOff>104775</xdr:colOff>
      <xdr:row>69</xdr:row>
      <xdr:rowOff>9525</xdr:rowOff>
    </xdr:from>
    <xdr:to>
      <xdr:col>3</xdr:col>
      <xdr:colOff>809625</xdr:colOff>
      <xdr:row>70</xdr:row>
      <xdr:rowOff>0</xdr:rowOff>
    </xdr:to>
    <xdr:pic>
      <xdr:nvPicPr>
        <xdr:cNvPr id="5" name="Picture 12">
          <a:extLst>
            <a:ext uri="{FF2B5EF4-FFF2-40B4-BE49-F238E27FC236}">
              <a16:creationId xmlns:a16="http://schemas.microsoft.com/office/drawing/2014/main" id="{0BEE3845-C1AE-440C-AA27-EC1530412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933575" y="12715875"/>
          <a:ext cx="704850" cy="174625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113</xdr:row>
      <xdr:rowOff>0</xdr:rowOff>
    </xdr:from>
    <xdr:to>
      <xdr:col>3</xdr:col>
      <xdr:colOff>981075</xdr:colOff>
      <xdr:row>113</xdr:row>
      <xdr:rowOff>180975</xdr:rowOff>
    </xdr:to>
    <xdr:pic>
      <xdr:nvPicPr>
        <xdr:cNvPr id="6" name="Picture 17">
          <a:extLst>
            <a:ext uri="{FF2B5EF4-FFF2-40B4-BE49-F238E27FC236}">
              <a16:creationId xmlns:a16="http://schemas.microsoft.com/office/drawing/2014/main" id="{619D7FCC-483D-401C-830E-1DCD2C0BC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828800" y="21545550"/>
          <a:ext cx="981075" cy="180975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114</xdr:row>
      <xdr:rowOff>0</xdr:rowOff>
    </xdr:from>
    <xdr:to>
      <xdr:col>4</xdr:col>
      <xdr:colOff>381000</xdr:colOff>
      <xdr:row>114</xdr:row>
      <xdr:rowOff>180975</xdr:rowOff>
    </xdr:to>
    <xdr:pic>
      <xdr:nvPicPr>
        <xdr:cNvPr id="7" name="Picture 18">
          <a:extLst>
            <a:ext uri="{FF2B5EF4-FFF2-40B4-BE49-F238E27FC236}">
              <a16:creationId xmlns:a16="http://schemas.microsoft.com/office/drawing/2014/main" id="{E8EE4BE8-FF0A-4C18-8192-703E56C3A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828800" y="21729700"/>
          <a:ext cx="1428750" cy="180975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115</xdr:row>
      <xdr:rowOff>0</xdr:rowOff>
    </xdr:from>
    <xdr:to>
      <xdr:col>4</xdr:col>
      <xdr:colOff>352425</xdr:colOff>
      <xdr:row>115</xdr:row>
      <xdr:rowOff>180975</xdr:rowOff>
    </xdr:to>
    <xdr:pic>
      <xdr:nvPicPr>
        <xdr:cNvPr id="8" name="Picture 19">
          <a:extLst>
            <a:ext uri="{FF2B5EF4-FFF2-40B4-BE49-F238E27FC236}">
              <a16:creationId xmlns:a16="http://schemas.microsoft.com/office/drawing/2014/main" id="{9E2CB1E6-0C04-4E39-B74F-57EEAF6D6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828800" y="21913850"/>
          <a:ext cx="1400175" cy="180975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116</xdr:row>
      <xdr:rowOff>0</xdr:rowOff>
    </xdr:from>
    <xdr:to>
      <xdr:col>3</xdr:col>
      <xdr:colOff>971550</xdr:colOff>
      <xdr:row>116</xdr:row>
      <xdr:rowOff>180975</xdr:rowOff>
    </xdr:to>
    <xdr:pic>
      <xdr:nvPicPr>
        <xdr:cNvPr id="9" name="Picture 20">
          <a:extLst>
            <a:ext uri="{FF2B5EF4-FFF2-40B4-BE49-F238E27FC236}">
              <a16:creationId xmlns:a16="http://schemas.microsoft.com/office/drawing/2014/main" id="{2BA47BC9-70CC-4647-A468-583D45120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828800" y="22098000"/>
          <a:ext cx="971550" cy="180975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117</xdr:row>
      <xdr:rowOff>0</xdr:rowOff>
    </xdr:from>
    <xdr:to>
      <xdr:col>3</xdr:col>
      <xdr:colOff>971550</xdr:colOff>
      <xdr:row>117</xdr:row>
      <xdr:rowOff>180975</xdr:rowOff>
    </xdr:to>
    <xdr:pic>
      <xdr:nvPicPr>
        <xdr:cNvPr id="10" name="Picture 21">
          <a:extLst>
            <a:ext uri="{FF2B5EF4-FFF2-40B4-BE49-F238E27FC236}">
              <a16:creationId xmlns:a16="http://schemas.microsoft.com/office/drawing/2014/main" id="{83BFFB22-3DF7-42CA-9804-EB1D36E2F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828800" y="22282150"/>
          <a:ext cx="971550" cy="180975"/>
        </a:xfrm>
        <a:prstGeom prst="rect">
          <a:avLst/>
        </a:prstGeom>
        <a:noFill/>
      </xdr:spPr>
    </xdr:pic>
    <xdr:clientData/>
  </xdr:twoCellAnchor>
  <xdr:twoCellAnchor>
    <xdr:from>
      <xdr:col>3</xdr:col>
      <xdr:colOff>19050</xdr:colOff>
      <xdr:row>70</xdr:row>
      <xdr:rowOff>123825</xdr:rowOff>
    </xdr:from>
    <xdr:to>
      <xdr:col>4</xdr:col>
      <xdr:colOff>152400</xdr:colOff>
      <xdr:row>72</xdr:row>
      <xdr:rowOff>57150</xdr:rowOff>
    </xdr:to>
    <xdr:pic>
      <xdr:nvPicPr>
        <xdr:cNvPr id="11" name="Picture 7">
          <a:extLst>
            <a:ext uri="{FF2B5EF4-FFF2-40B4-BE49-F238E27FC236}">
              <a16:creationId xmlns:a16="http://schemas.microsoft.com/office/drawing/2014/main" id="{063F656B-5780-40C9-9FDC-A3A7731AC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847850" y="13014325"/>
          <a:ext cx="1181100" cy="301625"/>
        </a:xfrm>
        <a:prstGeom prst="rect">
          <a:avLst/>
        </a:prstGeom>
        <a:noFill/>
      </xdr:spPr>
    </xdr:pic>
    <xdr:clientData/>
  </xdr:twoCellAnchor>
  <xdr:twoCellAnchor>
    <xdr:from>
      <xdr:col>3</xdr:col>
      <xdr:colOff>114300</xdr:colOff>
      <xdr:row>73</xdr:row>
      <xdr:rowOff>19050</xdr:rowOff>
    </xdr:from>
    <xdr:to>
      <xdr:col>4</xdr:col>
      <xdr:colOff>381000</xdr:colOff>
      <xdr:row>74</xdr:row>
      <xdr:rowOff>142875</xdr:rowOff>
    </xdr:to>
    <xdr:pic>
      <xdr:nvPicPr>
        <xdr:cNvPr id="12" name="Picture 8">
          <a:extLst>
            <a:ext uri="{FF2B5EF4-FFF2-40B4-BE49-F238E27FC236}">
              <a16:creationId xmlns:a16="http://schemas.microsoft.com/office/drawing/2014/main" id="{C53B3051-57F0-401B-A0C8-9F79CC27F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943100" y="13462000"/>
          <a:ext cx="1314450" cy="307975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118</xdr:row>
      <xdr:rowOff>28575</xdr:rowOff>
    </xdr:from>
    <xdr:to>
      <xdr:col>4</xdr:col>
      <xdr:colOff>400050</xdr:colOff>
      <xdr:row>119</xdr:row>
      <xdr:rowOff>152400</xdr:rowOff>
    </xdr:to>
    <xdr:pic>
      <xdr:nvPicPr>
        <xdr:cNvPr id="13" name="Picture 9">
          <a:extLst>
            <a:ext uri="{FF2B5EF4-FFF2-40B4-BE49-F238E27FC236}">
              <a16:creationId xmlns:a16="http://schemas.microsoft.com/office/drawing/2014/main" id="{684607AD-7B59-456D-B1F2-B9BC33B03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828800" y="22494875"/>
          <a:ext cx="1447800" cy="307975"/>
        </a:xfrm>
        <a:prstGeom prst="rect">
          <a:avLst/>
        </a:prstGeom>
        <a:noFill/>
      </xdr:spPr>
    </xdr:pic>
    <xdr:clientData/>
  </xdr:twoCellAnchor>
  <xdr:twoCellAnchor>
    <xdr:from>
      <xdr:col>3</xdr:col>
      <xdr:colOff>66675</xdr:colOff>
      <xdr:row>120</xdr:row>
      <xdr:rowOff>104775</xdr:rowOff>
    </xdr:from>
    <xdr:to>
      <xdr:col>4</xdr:col>
      <xdr:colOff>600075</xdr:colOff>
      <xdr:row>122</xdr:row>
      <xdr:rowOff>38100</xdr:rowOff>
    </xdr:to>
    <xdr:pic>
      <xdr:nvPicPr>
        <xdr:cNvPr id="14" name="Picture 10">
          <a:extLst>
            <a:ext uri="{FF2B5EF4-FFF2-40B4-BE49-F238E27FC236}">
              <a16:creationId xmlns:a16="http://schemas.microsoft.com/office/drawing/2014/main" id="{969431BD-B9A2-4CAB-A54F-710C18D94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895475" y="22939375"/>
          <a:ext cx="1581150" cy="301625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44450</xdr:colOff>
          <xdr:row>5</xdr:row>
          <xdr:rowOff>6350</xdr:rowOff>
        </xdr:from>
        <xdr:to>
          <xdr:col>5</xdr:col>
          <xdr:colOff>82550</xdr:colOff>
          <xdr:row>10</xdr:row>
          <xdr:rowOff>44450</xdr:rowOff>
        </xdr:to>
        <xdr:sp macro="" textlink="">
          <xdr:nvSpPr>
            <xdr:cNvPr id="6145" name="Object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E92E393F-4911-4ABB-BE28-D873BF72A5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146050</xdr:colOff>
          <xdr:row>21</xdr:row>
          <xdr:rowOff>0</xdr:rowOff>
        </xdr:from>
        <xdr:to>
          <xdr:col>5</xdr:col>
          <xdr:colOff>63500</xdr:colOff>
          <xdr:row>26</xdr:row>
          <xdr:rowOff>6350</xdr:rowOff>
        </xdr:to>
        <xdr:sp macro="" textlink="">
          <xdr:nvSpPr>
            <xdr:cNvPr id="6146" name="Object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180EB762-BEB1-4BF8-B823-FECB4E15AF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4</xdr:row>
      <xdr:rowOff>114300</xdr:rowOff>
    </xdr:from>
    <xdr:to>
      <xdr:col>2</xdr:col>
      <xdr:colOff>323850</xdr:colOff>
      <xdr:row>7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930644-9510-4DDE-A70A-EEA12C049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47675" y="850900"/>
          <a:ext cx="1095375" cy="485775"/>
        </a:xfrm>
        <a:prstGeom prst="rect">
          <a:avLst/>
        </a:prstGeom>
        <a:noFill/>
      </xdr:spPr>
    </xdr:pic>
    <xdr:clientData/>
  </xdr:twoCellAnchor>
  <xdr:twoCellAnchor>
    <xdr:from>
      <xdr:col>2</xdr:col>
      <xdr:colOff>600075</xdr:colOff>
      <xdr:row>34</xdr:row>
      <xdr:rowOff>19050</xdr:rowOff>
    </xdr:from>
    <xdr:to>
      <xdr:col>9</xdr:col>
      <xdr:colOff>466725</xdr:colOff>
      <xdr:row>36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B25B33-4312-44B9-99DA-792F2BE3F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819275" y="6280150"/>
          <a:ext cx="4286250" cy="511175"/>
        </a:xfrm>
        <a:prstGeom prst="rect">
          <a:avLst/>
        </a:prstGeom>
        <a:noFill/>
      </xdr:spPr>
    </xdr:pic>
    <xdr:clientData/>
  </xdr:twoCellAnchor>
  <xdr:twoCellAnchor>
    <xdr:from>
      <xdr:col>3</xdr:col>
      <xdr:colOff>76200</xdr:colOff>
      <xdr:row>43</xdr:row>
      <xdr:rowOff>57150</xdr:rowOff>
    </xdr:from>
    <xdr:to>
      <xdr:col>5</xdr:col>
      <xdr:colOff>304800</xdr:colOff>
      <xdr:row>45</xdr:row>
      <xdr:rowOff>57150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B22402C-3840-444C-AF0B-20D006A89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962150" y="7975600"/>
          <a:ext cx="1504950" cy="368300"/>
        </a:xfrm>
        <a:prstGeom prst="rect">
          <a:avLst/>
        </a:prstGeom>
        <a:noFill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676275</xdr:colOff>
      <xdr:row>19</xdr:row>
      <xdr:rowOff>76200</xdr:rowOff>
    </xdr:from>
    <xdr:to>
      <xdr:col>2</xdr:col>
      <xdr:colOff>742950</xdr:colOff>
      <xdr:row>21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9358A0-8CAD-4190-8706-0CBE6DF5E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704975" y="3575050"/>
          <a:ext cx="892175" cy="2921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600075</xdr:colOff>
      <xdr:row>24</xdr:row>
      <xdr:rowOff>57150</xdr:rowOff>
    </xdr:from>
    <xdr:to>
      <xdr:col>2</xdr:col>
      <xdr:colOff>828675</xdr:colOff>
      <xdr:row>25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070D3F-5A68-4302-A62A-C1A460C73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628775" y="4476750"/>
          <a:ext cx="1054100" cy="3079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409575</xdr:colOff>
      <xdr:row>29</xdr:row>
      <xdr:rowOff>9525</xdr:rowOff>
    </xdr:from>
    <xdr:to>
      <xdr:col>2</xdr:col>
      <xdr:colOff>828675</xdr:colOff>
      <xdr:row>31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0082940-BB1C-442E-A83E-902744293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438275" y="5349875"/>
          <a:ext cx="1244600" cy="3587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323850</xdr:colOff>
      <xdr:row>34</xdr:row>
      <xdr:rowOff>9525</xdr:rowOff>
    </xdr:from>
    <xdr:to>
      <xdr:col>3</xdr:col>
      <xdr:colOff>723900</xdr:colOff>
      <xdr:row>36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E48ABB8-E07E-4035-BDC6-C23A0B3B6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352550" y="6270625"/>
          <a:ext cx="2184400" cy="5111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228600</xdr:colOff>
      <xdr:row>40</xdr:row>
      <xdr:rowOff>9525</xdr:rowOff>
    </xdr:from>
    <xdr:to>
      <xdr:col>2</xdr:col>
      <xdr:colOff>800100</xdr:colOff>
      <xdr:row>42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5555979-B5BE-41E3-9936-645FFCBC0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257300" y="7375525"/>
          <a:ext cx="1397000" cy="3778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78</xdr:row>
      <xdr:rowOff>0</xdr:rowOff>
    </xdr:from>
    <xdr:to>
      <xdr:col>3</xdr:col>
      <xdr:colOff>514350</xdr:colOff>
      <xdr:row>81</xdr:row>
      <xdr:rowOff>104775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2A0725-58B7-4751-AFD1-F629D3F0A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028700" y="16205200"/>
          <a:ext cx="2298700" cy="6572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4</xdr:col>
      <xdr:colOff>238125</xdr:colOff>
      <xdr:row>108</xdr:row>
      <xdr:rowOff>79086</xdr:rowOff>
    </xdr:to>
    <xdr:pic>
      <xdr:nvPicPr>
        <xdr:cNvPr id="8" name="Picture 1" descr="Формула коэффициента корреляции.">
          <a:extLst>
            <a:ext uri="{FF2B5EF4-FFF2-40B4-BE49-F238E27FC236}">
              <a16:creationId xmlns:a16="http://schemas.microsoft.com/office/drawing/2014/main" id="{F2DC4526-6A96-4C6B-B648-9BB8A29C0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028700" y="21913850"/>
          <a:ext cx="2828925" cy="63153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2</xdr:col>
      <xdr:colOff>876300</xdr:colOff>
      <xdr:row>120</xdr:row>
      <xdr:rowOff>57150</xdr:rowOff>
    </xdr:to>
    <xdr:pic>
      <xdr:nvPicPr>
        <xdr:cNvPr id="9" name="Picture 4">
          <a:extLst>
            <a:ext uri="{FF2B5EF4-FFF2-40B4-BE49-F238E27FC236}">
              <a16:creationId xmlns:a16="http://schemas.microsoft.com/office/drawing/2014/main" id="{FD94BB7E-5D0A-4352-BF17-AE95DCD25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028700" y="24688800"/>
          <a:ext cx="1701800" cy="6096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140</xdr:row>
      <xdr:rowOff>0</xdr:rowOff>
    </xdr:from>
    <xdr:to>
      <xdr:col>2</xdr:col>
      <xdr:colOff>76200</xdr:colOff>
      <xdr:row>142</xdr:row>
      <xdr:rowOff>142875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8E8DBE7-3461-4C29-B601-559276871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028700" y="28936950"/>
          <a:ext cx="901700" cy="511175"/>
        </a:xfrm>
        <a:prstGeom prst="rect">
          <a:avLst/>
        </a:prstGeom>
        <a:noFill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34</xdr:row>
      <xdr:rowOff>73314</xdr:rowOff>
    </xdr:from>
    <xdr:to>
      <xdr:col>4</xdr:col>
      <xdr:colOff>238125</xdr:colOff>
      <xdr:row>37</xdr:row>
      <xdr:rowOff>152400</xdr:rowOff>
    </xdr:to>
    <xdr:pic>
      <xdr:nvPicPr>
        <xdr:cNvPr id="2" name="Picture 1" descr="Формула коэффициента корреляции.">
          <a:extLst>
            <a:ext uri="{FF2B5EF4-FFF2-40B4-BE49-F238E27FC236}">
              <a16:creationId xmlns:a16="http://schemas.microsoft.com/office/drawing/2014/main" id="{AFD70958-B8F4-44E2-94A0-B8D3116E4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5250" y="6709064"/>
          <a:ext cx="2803525" cy="63153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171450</xdr:colOff>
      <xdr:row>41</xdr:row>
      <xdr:rowOff>0</xdr:rowOff>
    </xdr:from>
    <xdr:to>
      <xdr:col>2</xdr:col>
      <xdr:colOff>590550</xdr:colOff>
      <xdr:row>44</xdr:row>
      <xdr:rowOff>57150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A441ADAE-1726-478C-BA62-0F1B6187E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71450" y="8299450"/>
          <a:ext cx="1695450" cy="609600"/>
        </a:xfrm>
        <a:prstGeom prst="rect">
          <a:avLst/>
        </a:prstGeom>
        <a:noFill/>
      </xdr:spPr>
    </xdr:pic>
    <xdr:clientData/>
  </xdr:twoCellAnchor>
  <xdr:twoCellAnchor>
    <xdr:from>
      <xdr:col>2</xdr:col>
      <xdr:colOff>95250</xdr:colOff>
      <xdr:row>143</xdr:row>
      <xdr:rowOff>9525</xdr:rowOff>
    </xdr:from>
    <xdr:to>
      <xdr:col>5</xdr:col>
      <xdr:colOff>590550</xdr:colOff>
      <xdr:row>145</xdr:row>
      <xdr:rowOff>19050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7D140986-0A85-4AA7-9426-E884B58A5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371600" y="31524575"/>
          <a:ext cx="2489200" cy="3778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164</xdr:row>
      <xdr:rowOff>0</xdr:rowOff>
    </xdr:from>
    <xdr:to>
      <xdr:col>4</xdr:col>
      <xdr:colOff>428625</xdr:colOff>
      <xdr:row>166</xdr:row>
      <xdr:rowOff>142875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2BD1D034-0D68-415E-A96F-E92CA6A99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276350" y="35382200"/>
          <a:ext cx="1812925" cy="51117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171</xdr:row>
      <xdr:rowOff>0</xdr:rowOff>
    </xdr:from>
    <xdr:to>
      <xdr:col>3</xdr:col>
      <xdr:colOff>180975</xdr:colOff>
      <xdr:row>173</xdr:row>
      <xdr:rowOff>85725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E93F4DA4-E986-4853-AB97-FB0293EDB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276350" y="36671250"/>
          <a:ext cx="898525" cy="454025"/>
        </a:xfrm>
        <a:prstGeom prst="rect">
          <a:avLst/>
        </a:prstGeom>
        <a:noFill/>
      </xdr:spPr>
    </xdr:pic>
    <xdr:clientData/>
  </xdr:twoCellAnchor>
  <xdr:twoCellAnchor>
    <xdr:from>
      <xdr:col>6</xdr:col>
      <xdr:colOff>352425</xdr:colOff>
      <xdr:row>217</xdr:row>
      <xdr:rowOff>180975</xdr:rowOff>
    </xdr:from>
    <xdr:to>
      <xdr:col>10</xdr:col>
      <xdr:colOff>714375</xdr:colOff>
      <xdr:row>220</xdr:row>
      <xdr:rowOff>152400</xdr:rowOff>
    </xdr:to>
    <xdr:pic>
      <xdr:nvPicPr>
        <xdr:cNvPr id="7" name="Picture 5">
          <a:extLst>
            <a:ext uri="{FF2B5EF4-FFF2-40B4-BE49-F238E27FC236}">
              <a16:creationId xmlns:a16="http://schemas.microsoft.com/office/drawing/2014/main" id="{30C9A917-F648-427F-B88F-B4BD4D35B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232275" y="45323125"/>
          <a:ext cx="4260850" cy="52387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200025</xdr:colOff>
      <xdr:row>238</xdr:row>
      <xdr:rowOff>171450</xdr:rowOff>
    </xdr:from>
    <xdr:to>
      <xdr:col>2</xdr:col>
      <xdr:colOff>342900</xdr:colOff>
      <xdr:row>240</xdr:row>
      <xdr:rowOff>0</xdr:rowOff>
    </xdr:to>
    <xdr:pic>
      <xdr:nvPicPr>
        <xdr:cNvPr id="8" name="Picture 6">
          <a:extLst>
            <a:ext uri="{FF2B5EF4-FFF2-40B4-BE49-F238E27FC236}">
              <a16:creationId xmlns:a16="http://schemas.microsoft.com/office/drawing/2014/main" id="{AE232778-2710-4787-9CCF-EF012B494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476375" y="49180750"/>
          <a:ext cx="142875" cy="196850"/>
        </a:xfrm>
        <a:prstGeom prst="rect">
          <a:avLst/>
        </a:prstGeom>
        <a:noFill/>
      </xdr:spPr>
    </xdr:pic>
    <xdr:clientData/>
  </xdr:twoCellAnchor>
  <xdr:twoCellAnchor>
    <xdr:from>
      <xdr:col>2</xdr:col>
      <xdr:colOff>95250</xdr:colOff>
      <xdr:row>308</xdr:row>
      <xdr:rowOff>9525</xdr:rowOff>
    </xdr:from>
    <xdr:to>
      <xdr:col>5</xdr:col>
      <xdr:colOff>590550</xdr:colOff>
      <xdr:row>310</xdr:row>
      <xdr:rowOff>19050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50477764-94CA-4A7E-BF60-A01CA25E6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371600" y="63198375"/>
          <a:ext cx="2489200" cy="3778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329</xdr:row>
      <xdr:rowOff>0</xdr:rowOff>
    </xdr:from>
    <xdr:to>
      <xdr:col>4</xdr:col>
      <xdr:colOff>428625</xdr:colOff>
      <xdr:row>331</xdr:row>
      <xdr:rowOff>142875</xdr:rowOff>
    </xdr:to>
    <xdr:pic>
      <xdr:nvPicPr>
        <xdr:cNvPr id="10" name="Picture 3">
          <a:extLst>
            <a:ext uri="{FF2B5EF4-FFF2-40B4-BE49-F238E27FC236}">
              <a16:creationId xmlns:a16="http://schemas.microsoft.com/office/drawing/2014/main" id="{280B2E94-4DF0-40C5-B818-FBF403EF6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276350" y="67056000"/>
          <a:ext cx="1812925" cy="51117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336</xdr:row>
      <xdr:rowOff>0</xdr:rowOff>
    </xdr:from>
    <xdr:to>
      <xdr:col>3</xdr:col>
      <xdr:colOff>180975</xdr:colOff>
      <xdr:row>338</xdr:row>
      <xdr:rowOff>85725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923F6758-0EC0-4410-8812-0DB1744C7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276350" y="68345050"/>
          <a:ext cx="898525" cy="454025"/>
        </a:xfrm>
        <a:prstGeom prst="rect">
          <a:avLst/>
        </a:prstGeom>
        <a:noFill/>
      </xdr:spPr>
    </xdr:pic>
    <xdr:clientData/>
  </xdr:twoCellAnchor>
  <xdr:twoCellAnchor>
    <xdr:from>
      <xdr:col>6</xdr:col>
      <xdr:colOff>352425</xdr:colOff>
      <xdr:row>382</xdr:row>
      <xdr:rowOff>180975</xdr:rowOff>
    </xdr:from>
    <xdr:to>
      <xdr:col>10</xdr:col>
      <xdr:colOff>714375</xdr:colOff>
      <xdr:row>385</xdr:row>
      <xdr:rowOff>152400</xdr:rowOff>
    </xdr:to>
    <xdr:pic>
      <xdr:nvPicPr>
        <xdr:cNvPr id="12" name="Picture 5">
          <a:extLst>
            <a:ext uri="{FF2B5EF4-FFF2-40B4-BE49-F238E27FC236}">
              <a16:creationId xmlns:a16="http://schemas.microsoft.com/office/drawing/2014/main" id="{E3E260C9-4B79-4BB4-9296-1E0A3FBB2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232275" y="76996925"/>
          <a:ext cx="4260850" cy="52387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200025</xdr:colOff>
      <xdr:row>399</xdr:row>
      <xdr:rowOff>171450</xdr:rowOff>
    </xdr:from>
    <xdr:to>
      <xdr:col>2</xdr:col>
      <xdr:colOff>342900</xdr:colOff>
      <xdr:row>401</xdr:row>
      <xdr:rowOff>0</xdr:rowOff>
    </xdr:to>
    <xdr:pic>
      <xdr:nvPicPr>
        <xdr:cNvPr id="13" name="Picture 6">
          <a:extLst>
            <a:ext uri="{FF2B5EF4-FFF2-40B4-BE49-F238E27FC236}">
              <a16:creationId xmlns:a16="http://schemas.microsoft.com/office/drawing/2014/main" id="{5D5C0940-DEC3-44E2-8A89-0D2F60002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476375" y="80117950"/>
          <a:ext cx="142875" cy="196850"/>
        </a:xfrm>
        <a:prstGeom prst="rect">
          <a:avLst/>
        </a:prstGeom>
        <a:noFill/>
      </xdr:spPr>
    </xdr:pic>
    <xdr:clientData/>
  </xdr:twoCellAnchor>
  <xdr:twoCellAnchor>
    <xdr:from>
      <xdr:col>2</xdr:col>
      <xdr:colOff>95250</xdr:colOff>
      <xdr:row>473</xdr:row>
      <xdr:rowOff>9525</xdr:rowOff>
    </xdr:from>
    <xdr:to>
      <xdr:col>5</xdr:col>
      <xdr:colOff>590550</xdr:colOff>
      <xdr:row>475</xdr:row>
      <xdr:rowOff>19050</xdr:rowOff>
    </xdr:to>
    <xdr:pic>
      <xdr:nvPicPr>
        <xdr:cNvPr id="14" name="Picture 1">
          <a:extLst>
            <a:ext uri="{FF2B5EF4-FFF2-40B4-BE49-F238E27FC236}">
              <a16:creationId xmlns:a16="http://schemas.microsoft.com/office/drawing/2014/main" id="{FC1A5EF5-4959-4C14-ACA7-D97AE5AF0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371600" y="93595825"/>
          <a:ext cx="2489200" cy="3778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494</xdr:row>
      <xdr:rowOff>0</xdr:rowOff>
    </xdr:from>
    <xdr:to>
      <xdr:col>4</xdr:col>
      <xdr:colOff>428625</xdr:colOff>
      <xdr:row>496</xdr:row>
      <xdr:rowOff>142875</xdr:rowOff>
    </xdr:to>
    <xdr:pic>
      <xdr:nvPicPr>
        <xdr:cNvPr id="15" name="Picture 3">
          <a:extLst>
            <a:ext uri="{FF2B5EF4-FFF2-40B4-BE49-F238E27FC236}">
              <a16:creationId xmlns:a16="http://schemas.microsoft.com/office/drawing/2014/main" id="{8601BF66-E423-4459-B31B-BB8949760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276350" y="97453450"/>
          <a:ext cx="1812925" cy="51117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501</xdr:row>
      <xdr:rowOff>0</xdr:rowOff>
    </xdr:from>
    <xdr:to>
      <xdr:col>3</xdr:col>
      <xdr:colOff>180975</xdr:colOff>
      <xdr:row>503</xdr:row>
      <xdr:rowOff>85725</xdr:rowOff>
    </xdr:to>
    <xdr:pic>
      <xdr:nvPicPr>
        <xdr:cNvPr id="16" name="Picture 4">
          <a:extLst>
            <a:ext uri="{FF2B5EF4-FFF2-40B4-BE49-F238E27FC236}">
              <a16:creationId xmlns:a16="http://schemas.microsoft.com/office/drawing/2014/main" id="{D07972ED-EA4D-4539-A18A-DE5BB8BE5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276350" y="98742500"/>
          <a:ext cx="898525" cy="454025"/>
        </a:xfrm>
        <a:prstGeom prst="rect">
          <a:avLst/>
        </a:prstGeom>
        <a:noFill/>
      </xdr:spPr>
    </xdr:pic>
    <xdr:clientData/>
  </xdr:twoCellAnchor>
  <xdr:twoCellAnchor>
    <xdr:from>
      <xdr:col>6</xdr:col>
      <xdr:colOff>352425</xdr:colOff>
      <xdr:row>547</xdr:row>
      <xdr:rowOff>180975</xdr:rowOff>
    </xdr:from>
    <xdr:to>
      <xdr:col>10</xdr:col>
      <xdr:colOff>714375</xdr:colOff>
      <xdr:row>550</xdr:row>
      <xdr:rowOff>152400</xdr:rowOff>
    </xdr:to>
    <xdr:pic>
      <xdr:nvPicPr>
        <xdr:cNvPr id="17" name="Picture 5">
          <a:extLst>
            <a:ext uri="{FF2B5EF4-FFF2-40B4-BE49-F238E27FC236}">
              <a16:creationId xmlns:a16="http://schemas.microsoft.com/office/drawing/2014/main" id="{8DE17DB6-0EB3-4DCF-99AB-1DF6A03AB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232275" y="107394375"/>
          <a:ext cx="4260850" cy="52387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200025</xdr:colOff>
      <xdr:row>564</xdr:row>
      <xdr:rowOff>171450</xdr:rowOff>
    </xdr:from>
    <xdr:to>
      <xdr:col>2</xdr:col>
      <xdr:colOff>342900</xdr:colOff>
      <xdr:row>566</xdr:row>
      <xdr:rowOff>0</xdr:rowOff>
    </xdr:to>
    <xdr:pic>
      <xdr:nvPicPr>
        <xdr:cNvPr id="18" name="Picture 6">
          <a:extLst>
            <a:ext uri="{FF2B5EF4-FFF2-40B4-BE49-F238E27FC236}">
              <a16:creationId xmlns:a16="http://schemas.microsoft.com/office/drawing/2014/main" id="{25E98738-46C2-42F9-BA98-3A1D8B196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476375" y="110515400"/>
          <a:ext cx="142875" cy="196850"/>
        </a:xfrm>
        <a:prstGeom prst="rect">
          <a:avLst/>
        </a:prstGeom>
        <a:noFill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571500</xdr:colOff>
      <xdr:row>24</xdr:row>
      <xdr:rowOff>28575</xdr:rowOff>
    </xdr:from>
    <xdr:to>
      <xdr:col>3</xdr:col>
      <xdr:colOff>247650</xdr:colOff>
      <xdr:row>26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63C0D3-3A0E-438F-A19A-02C8AE6EA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181100" y="4448175"/>
          <a:ext cx="965200" cy="349250"/>
        </a:xfrm>
        <a:prstGeom prst="rect">
          <a:avLst/>
        </a:prstGeom>
        <a:noFill/>
      </xdr:spPr>
    </xdr:pic>
    <xdr:clientData/>
  </xdr:twoCellAnchor>
  <xdr:twoCellAnchor>
    <xdr:from>
      <xdr:col>2</xdr:col>
      <xdr:colOff>47625</xdr:colOff>
      <xdr:row>36</xdr:row>
      <xdr:rowOff>95250</xdr:rowOff>
    </xdr:from>
    <xdr:to>
      <xdr:col>3</xdr:col>
      <xdr:colOff>57150</xdr:colOff>
      <xdr:row>38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074365-5006-4560-946F-C627884D0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266825" y="6724650"/>
          <a:ext cx="688975" cy="3492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0</xdr:colOff>
      <xdr:row>37</xdr:row>
      <xdr:rowOff>0</xdr:rowOff>
    </xdr:from>
    <xdr:to>
      <xdr:col>7</xdr:col>
      <xdr:colOff>57150</xdr:colOff>
      <xdr:row>38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A6BA42-0FB4-4A90-AD05-A35C6855A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578100" y="6813550"/>
          <a:ext cx="2336800" cy="222250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39</xdr:row>
      <xdr:rowOff>0</xdr:rowOff>
    </xdr:from>
    <xdr:to>
      <xdr:col>10</xdr:col>
      <xdr:colOff>295275</xdr:colOff>
      <xdr:row>40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703F4D5-073D-4876-AFB7-5EA35B2F4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076950" y="7181850"/>
          <a:ext cx="904875" cy="184150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42</xdr:row>
      <xdr:rowOff>0</xdr:rowOff>
    </xdr:from>
    <xdr:to>
      <xdr:col>10</xdr:col>
      <xdr:colOff>114300</xdr:colOff>
      <xdr:row>43</xdr:row>
      <xdr:rowOff>180975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F8738E6-A74C-48A2-BA90-64FD02F58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076950" y="7734300"/>
          <a:ext cx="723900" cy="3651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64</xdr:row>
      <xdr:rowOff>0</xdr:rowOff>
    </xdr:from>
    <xdr:to>
      <xdr:col>5</xdr:col>
      <xdr:colOff>419100</xdr:colOff>
      <xdr:row>66</xdr:row>
      <xdr:rowOff>104775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634C166-7799-40CF-875A-46525DBB9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09600" y="13442950"/>
          <a:ext cx="3448050" cy="473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28575</xdr:colOff>
      <xdr:row>81</xdr:row>
      <xdr:rowOff>123825</xdr:rowOff>
    </xdr:from>
    <xdr:to>
      <xdr:col>5</xdr:col>
      <xdr:colOff>428625</xdr:colOff>
      <xdr:row>82</xdr:row>
      <xdr:rowOff>161925</xdr:rowOff>
    </xdr:to>
    <xdr:pic>
      <xdr:nvPicPr>
        <xdr:cNvPr id="8" name="Picture 9">
          <a:extLst>
            <a:ext uri="{FF2B5EF4-FFF2-40B4-BE49-F238E27FC236}">
              <a16:creationId xmlns:a16="http://schemas.microsoft.com/office/drawing/2014/main" id="{3031C446-A361-4E35-9513-C45AC2D6A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38175" y="16710025"/>
          <a:ext cx="3429000" cy="2222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219075</xdr:colOff>
      <xdr:row>97</xdr:row>
      <xdr:rowOff>47625</xdr:rowOff>
    </xdr:from>
    <xdr:to>
      <xdr:col>3</xdr:col>
      <xdr:colOff>190500</xdr:colOff>
      <xdr:row>98</xdr:row>
      <xdr:rowOff>47625</xdr:rowOff>
    </xdr:to>
    <xdr:pic>
      <xdr:nvPicPr>
        <xdr:cNvPr id="9" name="Picture 10">
          <a:extLst>
            <a:ext uri="{FF2B5EF4-FFF2-40B4-BE49-F238E27FC236}">
              <a16:creationId xmlns:a16="http://schemas.microsoft.com/office/drawing/2014/main" id="{BE5B25C1-2B39-4AC8-B147-D56F98067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28675" y="19580225"/>
          <a:ext cx="1260475" cy="18415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552450</xdr:colOff>
      <xdr:row>101</xdr:row>
      <xdr:rowOff>38100</xdr:rowOff>
    </xdr:from>
    <xdr:to>
      <xdr:col>3</xdr:col>
      <xdr:colOff>314325</xdr:colOff>
      <xdr:row>102</xdr:row>
      <xdr:rowOff>38100</xdr:rowOff>
    </xdr:to>
    <xdr:pic>
      <xdr:nvPicPr>
        <xdr:cNvPr id="10" name="Picture 11">
          <a:extLst>
            <a:ext uri="{FF2B5EF4-FFF2-40B4-BE49-F238E27FC236}">
              <a16:creationId xmlns:a16="http://schemas.microsoft.com/office/drawing/2014/main" id="{E5F80676-0F8D-42B8-9F65-FB0350291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552450" y="20307300"/>
          <a:ext cx="1660525" cy="184150"/>
        </a:xfrm>
        <a:prstGeom prst="rect">
          <a:avLst/>
        </a:prstGeom>
        <a:noFill/>
      </xdr:spPr>
    </xdr:pic>
    <xdr:clientData/>
  </xdr:twoCellAnchor>
  <xdr:twoCellAnchor editAs="oneCell">
    <xdr:from>
      <xdr:col>12</xdr:col>
      <xdr:colOff>597398</xdr:colOff>
      <xdr:row>0</xdr:row>
      <xdr:rowOff>50800</xdr:rowOff>
    </xdr:from>
    <xdr:to>
      <xdr:col>25</xdr:col>
      <xdr:colOff>260881</xdr:colOff>
      <xdr:row>41</xdr:row>
      <xdr:rowOff>89340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F7A398A-24F5-5FC1-FAFF-10F97D392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03148" y="50800"/>
          <a:ext cx="9169433" cy="758869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069;&#1082;&#1086;&#1085;&#1086;&#1084;\&#1069;&#1082;&#1086;&#1085;&#1086;&#1084;&#1080;&#1082;&#1072;%20&#1073;&#1072;&#1082;&#1072;&#1083;&#1072;&#1074;&#1088;&#1080;&#1072;&#1090;\3%20&#1082;&#1091;&#1088;&#1089;\&#1059;&#1087;&#1088;&#1072;&#1074;&#1083;&#1077;&#1085;&#1080;&#1077;%20&#1088;&#1080;&#1089;&#1082;&#1072;&#1084;&#1080;%20&#1080;%20&#1089;&#1090;&#1088;&#1072;&#1093;&#1086;&#1074;&#1072;&#1085;&#1080;&#1077;\&#1040;&#1075;&#1072;&#1087;&#1086;&#1074;%20&#1052;.&#1071;.%20&#1057;&#1090;&#1088;&#1072;&#1093;&#1086;&#1074;&#1072;&#1085;&#1080;&#1077;%202%20&#1095;&#1072;&#1089;&#1090;&#1100;.xlsx" TargetMode="External"/><Relationship Id="rId1" Type="http://schemas.openxmlformats.org/officeDocument/2006/relationships/externalLinkPath" Target="file:///D:\&#1069;&#1082;&#1086;&#1085;&#1086;&#1084;\&#1069;&#1082;&#1086;&#1085;&#1086;&#1084;&#1080;&#1082;&#1072;%20&#1073;&#1072;&#1082;&#1072;&#1083;&#1072;&#1074;&#1088;&#1080;&#1072;&#1090;\3%20&#1082;&#1091;&#1088;&#1089;\&#1059;&#1087;&#1088;&#1072;&#1074;&#1083;&#1077;&#1085;&#1080;&#1077;%20&#1088;&#1080;&#1089;&#1082;&#1072;&#1084;&#1080;%20&#1080;%20&#1089;&#1090;&#1088;&#1072;&#1093;&#1086;&#1074;&#1072;&#1085;&#1080;&#1077;\&#1040;&#1075;&#1072;&#1087;&#1086;&#1074;%20&#1052;.&#1071;.%20&#1057;&#1090;&#1088;&#1072;&#1093;&#1086;&#1074;&#1072;&#1085;&#1080;&#1077;%202%20&#1095;&#1072;&#1089;&#1090;&#1100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069;&#1082;&#1086;&#1085;&#1086;&#1084;\&#1060;&#1080;&#1050;&#1056;\&#1059;&#1087;&#1088;&#1072;&#1074;&#1083;&#1077;&#1085;&#1080;&#1077;%20&#1088;&#1080;&#1089;&#1082;&#1072;&#1084;&#1080;\&#1044;&#1047;%20&#1055;&#1054;%20&#1056;&#1048;&#1057;&#1050;&#1040;&#1052;\&#1057;&#1082;&#1086;&#1083;&#1100;&#1079;&#1103;&#1097;&#1072;&#1103;%20&#1089;&#1088;&#1077;&#1076;&#1085;&#1103;&#1103;%20&#1079;&#1087;.xlsx" TargetMode="External"/><Relationship Id="rId1" Type="http://schemas.openxmlformats.org/officeDocument/2006/relationships/externalLinkPath" Target="file:///D:\&#1069;&#1082;&#1086;&#1085;&#1086;&#1084;\&#1060;&#1080;&#1050;&#1056;\&#1059;&#1087;&#1088;&#1072;&#1074;&#1083;&#1077;&#1085;&#1080;&#1077;%20&#1088;&#1080;&#1089;&#1082;&#1072;&#1084;&#1080;\&#1044;&#1047;%20&#1055;&#1054;%20&#1056;&#1048;&#1057;&#1050;&#1040;&#1052;\&#1057;&#1082;&#1086;&#1083;&#1100;&#1079;&#1103;&#1097;&#1072;&#1103;%20&#1089;&#1088;&#1077;&#1076;&#1085;&#1103;&#1103;%20&#1079;&#108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Лист1"/>
    </sheetNames>
    <sheetDataSet>
      <sheetData sheetId="0">
        <row r="88">
          <cell r="B88" t="str">
            <v>F(x)</v>
          </cell>
          <cell r="E88" t="str">
            <v>f(x)</v>
          </cell>
        </row>
        <row r="89">
          <cell r="A89">
            <v>0</v>
          </cell>
          <cell r="B89">
            <v>0</v>
          </cell>
          <cell r="D89">
            <v>0</v>
          </cell>
          <cell r="E89">
            <v>1E-3</v>
          </cell>
        </row>
        <row r="90">
          <cell r="A90">
            <v>50</v>
          </cell>
          <cell r="B90">
            <v>4.8770575499285984E-2</v>
          </cell>
          <cell r="D90">
            <v>50</v>
          </cell>
          <cell r="E90">
            <v>9.5122942450071404E-4</v>
          </cell>
        </row>
        <row r="91">
          <cell r="A91">
            <v>100</v>
          </cell>
          <cell r="B91">
            <v>9.5162581964040482E-2</v>
          </cell>
          <cell r="D91">
            <v>100</v>
          </cell>
          <cell r="E91">
            <v>9.048374180359595E-4</v>
          </cell>
        </row>
        <row r="92">
          <cell r="A92">
            <v>150</v>
          </cell>
          <cell r="B92">
            <v>0.13929202357494219</v>
          </cell>
          <cell r="D92">
            <v>150</v>
          </cell>
          <cell r="E92">
            <v>8.6070797642505783E-4</v>
          </cell>
        </row>
        <row r="93">
          <cell r="A93">
            <v>200</v>
          </cell>
          <cell r="B93">
            <v>0.18126924692201818</v>
          </cell>
          <cell r="D93">
            <v>200</v>
          </cell>
          <cell r="E93">
            <v>8.1873075307798185E-4</v>
          </cell>
        </row>
        <row r="94">
          <cell r="A94">
            <v>250</v>
          </cell>
          <cell r="B94">
            <v>0.22119921692859512</v>
          </cell>
          <cell r="D94">
            <v>250</v>
          </cell>
          <cell r="E94">
            <v>7.7880078307140488E-4</v>
          </cell>
        </row>
        <row r="95">
          <cell r="A95">
            <v>300</v>
          </cell>
          <cell r="B95">
            <v>0.25918177931828212</v>
          </cell>
          <cell r="D95">
            <v>300</v>
          </cell>
          <cell r="E95">
            <v>7.4081822068171788E-4</v>
          </cell>
        </row>
        <row r="96">
          <cell r="A96">
            <v>350</v>
          </cell>
          <cell r="B96">
            <v>0.29531191028128656</v>
          </cell>
          <cell r="D96">
            <v>350</v>
          </cell>
          <cell r="E96">
            <v>7.0468808971871344E-4</v>
          </cell>
        </row>
        <row r="97">
          <cell r="A97">
            <v>400</v>
          </cell>
          <cell r="B97">
            <v>0.32967995396436067</v>
          </cell>
          <cell r="D97">
            <v>400</v>
          </cell>
          <cell r="E97">
            <v>6.7032004603563935E-4</v>
          </cell>
        </row>
        <row r="98">
          <cell r="A98">
            <v>450</v>
          </cell>
          <cell r="B98">
            <v>0.36237184837822667</v>
          </cell>
          <cell r="D98">
            <v>450</v>
          </cell>
          <cell r="E98">
            <v>6.376281516217733E-4</v>
          </cell>
        </row>
        <row r="99">
          <cell r="A99">
            <v>500</v>
          </cell>
          <cell r="B99">
            <v>0.39346934028736658</v>
          </cell>
          <cell r="D99">
            <v>500</v>
          </cell>
          <cell r="E99">
            <v>6.0653065971263346E-4</v>
          </cell>
        </row>
        <row r="100">
          <cell r="A100">
            <v>550</v>
          </cell>
          <cell r="B100">
            <v>0.42305018961951335</v>
          </cell>
          <cell r="D100">
            <v>550</v>
          </cell>
          <cell r="E100">
            <v>5.7694981038048667E-4</v>
          </cell>
        </row>
        <row r="101">
          <cell r="A101">
            <v>600</v>
          </cell>
          <cell r="B101">
            <v>0.45118836390597361</v>
          </cell>
          <cell r="D101">
            <v>600</v>
          </cell>
          <cell r="E101">
            <v>5.4881163609402637E-4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автокоррел зп"/>
      <sheetName val="ЗП"/>
      <sheetName val="автокоррел ВВП"/>
      <sheetName val="ВВП"/>
      <sheetName val="Лист7"/>
    </sheetNames>
    <sheetDataSet>
      <sheetData sheetId="0" refreshError="1"/>
      <sheetData sheetId="1" refreshError="1"/>
      <sheetData sheetId="2" refreshError="1"/>
      <sheetData sheetId="3">
        <row r="2">
          <cell r="B2" t="str">
            <v>yt</v>
          </cell>
          <cell r="H2" t="str">
            <v>T+E=yt-Si</v>
          </cell>
          <cell r="J2" t="str">
            <v>(T+Si) model</v>
          </cell>
        </row>
        <row r="3">
          <cell r="A3">
            <v>1</v>
          </cell>
          <cell r="B3">
            <v>16370</v>
          </cell>
          <cell r="H3">
            <v>14393.000347222223</v>
          </cell>
          <cell r="J3">
            <v>17206.779652777775</v>
          </cell>
        </row>
        <row r="4">
          <cell r="A4">
            <v>2</v>
          </cell>
          <cell r="B4">
            <v>17507.900000000001</v>
          </cell>
          <cell r="H4">
            <v>16447.857291666667</v>
          </cell>
          <cell r="J4">
            <v>16819.602708333332</v>
          </cell>
        </row>
        <row r="5">
          <cell r="A5">
            <v>3</v>
          </cell>
          <cell r="B5">
            <v>19003.5</v>
          </cell>
          <cell r="H5">
            <v>19704.937847222223</v>
          </cell>
          <cell r="J5">
            <v>15587.902152777779</v>
          </cell>
        </row>
        <row r="6">
          <cell r="A6">
            <v>4</v>
          </cell>
          <cell r="B6">
            <v>20104.3</v>
          </cell>
          <cell r="H6">
            <v>22439.904513888887</v>
          </cell>
          <cell r="J6">
            <v>14483.515486111111</v>
          </cell>
        </row>
        <row r="7">
          <cell r="A7">
            <v>5</v>
          </cell>
          <cell r="B7">
            <v>17311.400000000001</v>
          </cell>
          <cell r="H7">
            <v>15334.400347222225</v>
          </cell>
          <cell r="J7">
            <v>19325.899652777778</v>
          </cell>
        </row>
        <row r="8">
          <cell r="A8">
            <v>6</v>
          </cell>
          <cell r="B8">
            <v>19044.2</v>
          </cell>
          <cell r="H8">
            <v>17984.15729166667</v>
          </cell>
          <cell r="J8">
            <v>18938.722708333335</v>
          </cell>
        </row>
        <row r="9">
          <cell r="A9">
            <v>7</v>
          </cell>
          <cell r="B9">
            <v>20544</v>
          </cell>
          <cell r="H9">
            <v>21245.437847222223</v>
          </cell>
          <cell r="J9">
            <v>17707.022152777776</v>
          </cell>
        </row>
        <row r="10">
          <cell r="A10">
            <v>8</v>
          </cell>
          <cell r="B10">
            <v>22130.5</v>
          </cell>
          <cell r="H10">
            <v>24466.104513888888</v>
          </cell>
          <cell r="J10">
            <v>16602.63548611111</v>
          </cell>
        </row>
        <row r="11">
          <cell r="A11">
            <v>9</v>
          </cell>
          <cell r="B11">
            <v>18467.900000000001</v>
          </cell>
          <cell r="H11">
            <v>16490.900347222225</v>
          </cell>
          <cell r="J11">
            <v>21445.019652777777</v>
          </cell>
        </row>
        <row r="12">
          <cell r="A12">
            <v>10</v>
          </cell>
          <cell r="B12">
            <v>19751</v>
          </cell>
          <cell r="H12">
            <v>18690.957291666666</v>
          </cell>
          <cell r="J12">
            <v>21057.84270833333</v>
          </cell>
        </row>
        <row r="13">
          <cell r="A13">
            <v>11</v>
          </cell>
          <cell r="B13">
            <v>21788.6</v>
          </cell>
          <cell r="H13">
            <v>22490.037847222222</v>
          </cell>
          <cell r="J13">
            <v>19826.142152777778</v>
          </cell>
        </row>
        <row r="14">
          <cell r="A14">
            <v>12</v>
          </cell>
          <cell r="B14">
            <v>23079.8</v>
          </cell>
          <cell r="H14">
            <v>25415.404513888887</v>
          </cell>
          <cell r="J14">
            <v>18721.755486111113</v>
          </cell>
        </row>
        <row r="15">
          <cell r="A15">
            <v>13</v>
          </cell>
          <cell r="B15">
            <v>18885.099999999999</v>
          </cell>
          <cell r="H15">
            <v>16908.100347222222</v>
          </cell>
          <cell r="J15">
            <v>23564.139652777776</v>
          </cell>
        </row>
        <row r="16">
          <cell r="A16">
            <v>14</v>
          </cell>
          <cell r="B16">
            <v>20452.2</v>
          </cell>
          <cell r="H16">
            <v>19392.15729166667</v>
          </cell>
          <cell r="J16">
            <v>23176.962708333333</v>
          </cell>
        </row>
        <row r="17">
          <cell r="A17">
            <v>15</v>
          </cell>
          <cell r="B17">
            <v>22235.1</v>
          </cell>
          <cell r="H17">
            <v>22936.537847222222</v>
          </cell>
          <cell r="J17">
            <v>21945.262152777777</v>
          </cell>
        </row>
        <row r="18">
          <cell r="A18">
            <v>16</v>
          </cell>
          <cell r="B18">
            <v>24043.599999999999</v>
          </cell>
          <cell r="H18">
            <v>26379.204513888886</v>
          </cell>
          <cell r="J18">
            <v>20840.875486111112</v>
          </cell>
        </row>
        <row r="19">
          <cell r="A19">
            <v>17</v>
          </cell>
          <cell r="B19">
            <v>20586.099999999999</v>
          </cell>
          <cell r="H19">
            <v>18609.100347222222</v>
          </cell>
          <cell r="J19">
            <v>25683.259652777779</v>
          </cell>
        </row>
        <row r="20">
          <cell r="A20">
            <v>18</v>
          </cell>
          <cell r="B20">
            <v>21917.599999999999</v>
          </cell>
          <cell r="H20">
            <v>20857.557291666664</v>
          </cell>
          <cell r="J20">
            <v>25296.082708333335</v>
          </cell>
        </row>
        <row r="21">
          <cell r="A21">
            <v>19</v>
          </cell>
          <cell r="B21">
            <v>23718.2</v>
          </cell>
          <cell r="H21">
            <v>24419.637847222224</v>
          </cell>
          <cell r="J21">
            <v>24064.382152777776</v>
          </cell>
        </row>
        <row r="22">
          <cell r="A22">
            <v>20</v>
          </cell>
          <cell r="B22">
            <v>25621.200000000001</v>
          </cell>
          <cell r="H22">
            <v>27956.804513888888</v>
          </cell>
          <cell r="J22">
            <v>22959.995486111111</v>
          </cell>
        </row>
        <row r="23">
          <cell r="A23">
            <v>21</v>
          </cell>
          <cell r="B23">
            <v>22474.5</v>
          </cell>
          <cell r="H23">
            <v>20497.500347222223</v>
          </cell>
          <cell r="J23">
            <v>27802.379652777774</v>
          </cell>
        </row>
        <row r="24">
          <cell r="A24">
            <v>22</v>
          </cell>
          <cell r="B24">
            <v>24969.8</v>
          </cell>
          <cell r="H24">
            <v>23909.757291666669</v>
          </cell>
          <cell r="J24">
            <v>27415.202708333331</v>
          </cell>
        </row>
        <row r="25">
          <cell r="A25">
            <v>23</v>
          </cell>
          <cell r="B25">
            <v>27196.799999999999</v>
          </cell>
          <cell r="H25">
            <v>27898.237847222223</v>
          </cell>
          <cell r="J25">
            <v>26183.502152777775</v>
          </cell>
        </row>
        <row r="26">
          <cell r="A26">
            <v>24</v>
          </cell>
          <cell r="B26">
            <v>29220.6</v>
          </cell>
          <cell r="H26">
            <v>31556.204513888886</v>
          </cell>
          <cell r="J26">
            <v>25079.115486111114</v>
          </cell>
        </row>
        <row r="27">
          <cell r="A27">
            <v>25</v>
          </cell>
          <cell r="B27">
            <v>24608.6</v>
          </cell>
          <cell r="H27">
            <v>22631.600347222222</v>
          </cell>
          <cell r="J27">
            <v>29921.499652777777</v>
          </cell>
        </row>
        <row r="28">
          <cell r="A28">
            <v>26</v>
          </cell>
          <cell r="B28">
            <v>26628.6</v>
          </cell>
          <cell r="H28">
            <v>25568.557291666664</v>
          </cell>
          <cell r="J28">
            <v>29534.322708333333</v>
          </cell>
        </row>
        <row r="29">
          <cell r="A29">
            <v>27</v>
          </cell>
          <cell r="B29">
            <v>28346</v>
          </cell>
          <cell r="H29">
            <v>29047.437847222223</v>
          </cell>
          <cell r="J29">
            <v>28302.622152777774</v>
          </cell>
        </row>
        <row r="30">
          <cell r="A30">
            <v>28</v>
          </cell>
          <cell r="B30">
            <v>30025.1</v>
          </cell>
          <cell r="H30">
            <v>32360.704513888886</v>
          </cell>
          <cell r="J30">
            <v>27198.235486111113</v>
          </cell>
        </row>
        <row r="31">
          <cell r="A31">
            <v>29</v>
          </cell>
          <cell r="B31">
            <v>24866</v>
          </cell>
          <cell r="H31">
            <v>22889.000347222223</v>
          </cell>
          <cell r="J31">
            <v>32040.619652777776</v>
          </cell>
        </row>
        <row r="32">
          <cell r="A32">
            <v>30</v>
          </cell>
          <cell r="B32">
            <v>23775.4</v>
          </cell>
          <cell r="H32">
            <v>22715.357291666667</v>
          </cell>
          <cell r="J32">
            <v>31653.442708333336</v>
          </cell>
        </row>
        <row r="33">
          <cell r="A33">
            <v>31</v>
          </cell>
          <cell r="B33">
            <v>27786.3</v>
          </cell>
          <cell r="H33">
            <v>28487.737847222223</v>
          </cell>
          <cell r="J33">
            <v>30421.742152777777</v>
          </cell>
        </row>
        <row r="34">
          <cell r="A34">
            <v>32</v>
          </cell>
          <cell r="B34">
            <v>31230.5</v>
          </cell>
          <cell r="H34">
            <v>33566.104513888888</v>
          </cell>
          <cell r="J34">
            <v>29317.355486111112</v>
          </cell>
        </row>
        <row r="35">
          <cell r="A35">
            <v>33</v>
          </cell>
          <cell r="B35">
            <v>27939.8</v>
          </cell>
          <cell r="H35">
            <v>25962.800347222223</v>
          </cell>
          <cell r="J35">
            <v>34159.739652777775</v>
          </cell>
        </row>
        <row r="36">
          <cell r="A36">
            <v>34</v>
          </cell>
          <cell r="B36">
            <v>31885.1</v>
          </cell>
          <cell r="H36">
            <v>30825.057291666664</v>
          </cell>
          <cell r="J36">
            <v>33772.562708333331</v>
          </cell>
        </row>
        <row r="37">
          <cell r="A37">
            <v>35</v>
          </cell>
          <cell r="B37">
            <v>35358.5</v>
          </cell>
          <cell r="H37">
            <v>36059.937847222223</v>
          </cell>
          <cell r="J37">
            <v>32540.86215277778</v>
          </cell>
        </row>
        <row r="38">
          <cell r="A38">
            <v>36</v>
          </cell>
          <cell r="B38">
            <v>40111.5</v>
          </cell>
          <cell r="H38">
            <v>42447.104513888888</v>
          </cell>
          <cell r="J38">
            <v>31436.475486111114</v>
          </cell>
        </row>
        <row r="39">
          <cell r="A39">
            <v>37</v>
          </cell>
          <cell r="B39">
            <v>36398.5</v>
          </cell>
          <cell r="H39">
            <v>34421.500347222223</v>
          </cell>
          <cell r="J39">
            <v>36278.859652777777</v>
          </cell>
        </row>
        <row r="40">
          <cell r="A40">
            <v>38</v>
          </cell>
          <cell r="B40">
            <v>36540.199999999997</v>
          </cell>
          <cell r="H40">
            <v>35480.157291666663</v>
          </cell>
          <cell r="J40">
            <v>35891.682708333334</v>
          </cell>
        </row>
        <row r="41">
          <cell r="A41">
            <v>39</v>
          </cell>
          <cell r="B41">
            <v>38245.1</v>
          </cell>
          <cell r="H41">
            <v>38946.537847222222</v>
          </cell>
          <cell r="J41">
            <v>34659.982152777775</v>
          </cell>
        </row>
        <row r="42">
          <cell r="A42">
            <v>40</v>
          </cell>
          <cell r="B42">
            <v>42251.4</v>
          </cell>
          <cell r="H42">
            <v>44587.004513888889</v>
          </cell>
          <cell r="J42">
            <v>33555.595486111109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view.officeapps.live.com/op/view.aspx?src=https%3A%2F%2Frosstat.gov.ru%2Fstorage%2Fmediabank%2Ftab1_zpl_01-2023.xlsx&amp;wdOrigin=BROWSELIN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31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8.emf"/><Relationship Id="rId12" Type="http://schemas.openxmlformats.org/officeDocument/2006/relationships/oleObject" Target="../embeddings/oleObject5.bin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30.emf"/><Relationship Id="rId5" Type="http://schemas.openxmlformats.org/officeDocument/2006/relationships/image" Target="../media/image27.emf"/><Relationship Id="rId15" Type="http://schemas.openxmlformats.org/officeDocument/2006/relationships/image" Target="../media/image32.emf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29.emf"/><Relationship Id="rId14" Type="http://schemas.openxmlformats.org/officeDocument/2006/relationships/oleObject" Target="../embeddings/oleObject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43.wmf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8.bin"/><Relationship Id="rId5" Type="http://schemas.openxmlformats.org/officeDocument/2006/relationships/image" Target="../media/image42.wmf"/><Relationship Id="rId4" Type="http://schemas.openxmlformats.org/officeDocument/2006/relationships/oleObject" Target="../embeddings/oleObject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18A08-4030-4E21-9656-2DB71A4A8C4A}">
  <dimension ref="A1:V107"/>
  <sheetViews>
    <sheetView tabSelected="1" workbookViewId="0">
      <selection activeCell="A66" sqref="A66:B70"/>
    </sheetView>
  </sheetViews>
  <sheetFormatPr defaultRowHeight="14.5" x14ac:dyDescent="0.35"/>
  <cols>
    <col min="1" max="1" width="40.453125" customWidth="1"/>
    <col min="2" max="2" width="14.90625" customWidth="1"/>
    <col min="3" max="3" width="16" customWidth="1"/>
    <col min="4" max="4" width="18.1796875" bestFit="1" customWidth="1"/>
    <col min="5" max="5" width="24.26953125" bestFit="1" customWidth="1"/>
    <col min="6" max="6" width="27.26953125" customWidth="1"/>
    <col min="7" max="7" width="15.54296875" customWidth="1"/>
    <col min="8" max="8" width="21.7265625" customWidth="1"/>
    <col min="9" max="9" width="15.81640625" customWidth="1"/>
    <col min="10" max="10" width="16.81640625" customWidth="1"/>
    <col min="11" max="11" width="16.7265625" customWidth="1"/>
    <col min="12" max="12" width="17" customWidth="1"/>
    <col min="15" max="15" width="26.81640625" customWidth="1"/>
  </cols>
  <sheetData>
    <row r="1" spans="1:14" x14ac:dyDescent="0.35">
      <c r="A1" t="s">
        <v>849</v>
      </c>
      <c r="N1" s="93" t="s">
        <v>850</v>
      </c>
    </row>
    <row r="2" spans="1:14" x14ac:dyDescent="0.35">
      <c r="A2" s="75" t="s">
        <v>851</v>
      </c>
      <c r="B2" s="75" t="s">
        <v>852</v>
      </c>
      <c r="C2" s="75" t="s">
        <v>853</v>
      </c>
      <c r="D2" s="75" t="s">
        <v>854</v>
      </c>
      <c r="E2" s="75" t="s">
        <v>855</v>
      </c>
      <c r="F2" s="94" t="s">
        <v>856</v>
      </c>
      <c r="G2" s="95" t="s">
        <v>857</v>
      </c>
      <c r="H2" s="75" t="s">
        <v>858</v>
      </c>
      <c r="I2" s="75" t="s">
        <v>859</v>
      </c>
      <c r="J2" s="75" t="s">
        <v>860</v>
      </c>
      <c r="K2" s="75" t="s">
        <v>272</v>
      </c>
      <c r="L2" s="75" t="s">
        <v>861</v>
      </c>
    </row>
    <row r="3" spans="1:14" x14ac:dyDescent="0.35">
      <c r="A3" s="75">
        <v>1</v>
      </c>
      <c r="B3" s="76">
        <v>16370</v>
      </c>
      <c r="C3" s="76" t="s">
        <v>818</v>
      </c>
      <c r="D3" s="76" t="s">
        <v>818</v>
      </c>
      <c r="E3" s="76" t="s">
        <v>818</v>
      </c>
      <c r="F3" s="96" t="s">
        <v>818</v>
      </c>
      <c r="G3" s="78">
        <f>C59</f>
        <v>1976.9996527777766</v>
      </c>
      <c r="H3" s="76">
        <f>B3-G3</f>
        <v>14393.000347222223</v>
      </c>
      <c r="I3" s="76">
        <f>529.78*A3+14700</f>
        <v>15229.78</v>
      </c>
      <c r="J3" s="76">
        <f>I3+G3</f>
        <v>17206.779652777775</v>
      </c>
      <c r="K3" s="83">
        <f>B3-J3</f>
        <v>-836.77965277777548</v>
      </c>
      <c r="L3" s="83">
        <f>K3^2</f>
        <v>700200.18730289454</v>
      </c>
    </row>
    <row r="4" spans="1:14" x14ac:dyDescent="0.35">
      <c r="A4" s="75">
        <v>2</v>
      </c>
      <c r="B4" s="76">
        <v>17507.900000000001</v>
      </c>
      <c r="C4" s="76" t="s">
        <v>818</v>
      </c>
      <c r="D4" s="76" t="s">
        <v>818</v>
      </c>
      <c r="E4" s="76" t="s">
        <v>818</v>
      </c>
      <c r="F4" s="96" t="s">
        <v>818</v>
      </c>
      <c r="G4" s="78">
        <f>D59</f>
        <v>1060.0427083333325</v>
      </c>
      <c r="H4" s="76">
        <f t="shared" ref="H4:H42" si="0">B4-G4</f>
        <v>16447.857291666667</v>
      </c>
      <c r="I4" s="76">
        <f t="shared" ref="I4:I42" si="1">529.78*A4+14700</f>
        <v>15759.56</v>
      </c>
      <c r="J4" s="76">
        <f t="shared" ref="J4:J42" si="2">I4+G4</f>
        <v>16819.602708333332</v>
      </c>
      <c r="K4" s="83">
        <f t="shared" ref="K4:K42" si="3">B4-J4</f>
        <v>688.29729166666948</v>
      </c>
      <c r="L4" s="83">
        <f t="shared" ref="L4:L42" si="4">K4^2</f>
        <v>473753.16171567229</v>
      </c>
    </row>
    <row r="5" spans="1:14" x14ac:dyDescent="0.35">
      <c r="A5" s="75">
        <v>3</v>
      </c>
      <c r="B5" s="76">
        <v>19003.5</v>
      </c>
      <c r="C5" s="76">
        <f>B3+B4+B5+B6</f>
        <v>72985.7</v>
      </c>
      <c r="D5" s="76">
        <f>C5/4</f>
        <v>18246.424999999999</v>
      </c>
      <c r="E5" s="76">
        <f>AVERAGE(D5:D6)</f>
        <v>18364.099999999999</v>
      </c>
      <c r="F5" s="96">
        <f>E5-B5</f>
        <v>-639.40000000000146</v>
      </c>
      <c r="G5" s="78">
        <f>E59</f>
        <v>-701.43784722222222</v>
      </c>
      <c r="H5" s="76">
        <f t="shared" si="0"/>
        <v>19704.937847222223</v>
      </c>
      <c r="I5" s="76">
        <f t="shared" si="1"/>
        <v>16289.34</v>
      </c>
      <c r="J5" s="76">
        <f t="shared" si="2"/>
        <v>15587.902152777779</v>
      </c>
      <c r="K5" s="83">
        <f t="shared" si="3"/>
        <v>3415.5978472222214</v>
      </c>
      <c r="L5" s="83">
        <f t="shared" si="4"/>
        <v>11666308.653949073</v>
      </c>
    </row>
    <row r="6" spans="1:14" x14ac:dyDescent="0.35">
      <c r="A6" s="75">
        <v>4</v>
      </c>
      <c r="B6" s="76">
        <v>20104.3</v>
      </c>
      <c r="C6" s="76">
        <f>B4+B5+B6+B7</f>
        <v>73927.100000000006</v>
      </c>
      <c r="D6" s="76">
        <f t="shared" ref="D6:D41" si="5">C6/4</f>
        <v>18481.775000000001</v>
      </c>
      <c r="E6" s="76">
        <f t="shared" ref="E6:E40" si="6">AVERAGE(D6:D7)</f>
        <v>18673.8125</v>
      </c>
      <c r="F6" s="96">
        <f t="shared" ref="F6:F40" si="7">E6-B6</f>
        <v>-1430.4874999999993</v>
      </c>
      <c r="G6" s="78">
        <f>F59</f>
        <v>-2335.6045138888871</v>
      </c>
      <c r="H6" s="76">
        <f t="shared" si="0"/>
        <v>22439.904513888887</v>
      </c>
      <c r="I6" s="76">
        <f t="shared" si="1"/>
        <v>16819.12</v>
      </c>
      <c r="J6" s="76">
        <f t="shared" si="2"/>
        <v>14483.515486111111</v>
      </c>
      <c r="K6" s="83">
        <f t="shared" si="3"/>
        <v>5620.7845138888879</v>
      </c>
      <c r="L6" s="83">
        <f t="shared" si="4"/>
        <v>31593218.551573142</v>
      </c>
    </row>
    <row r="7" spans="1:14" x14ac:dyDescent="0.35">
      <c r="A7" s="75">
        <v>5</v>
      </c>
      <c r="B7" s="76">
        <v>17311.400000000001</v>
      </c>
      <c r="C7" s="76">
        <f t="shared" ref="C7:C40" si="8">B5+B6+B7+B8</f>
        <v>75463.400000000009</v>
      </c>
      <c r="D7" s="76">
        <f t="shared" si="5"/>
        <v>18865.850000000002</v>
      </c>
      <c r="E7" s="76">
        <f t="shared" si="6"/>
        <v>19058.412499999999</v>
      </c>
      <c r="F7" s="96">
        <f t="shared" si="7"/>
        <v>1747.0124999999971</v>
      </c>
      <c r="G7" s="78">
        <f>C59</f>
        <v>1976.9996527777766</v>
      </c>
      <c r="H7" s="76">
        <f t="shared" si="0"/>
        <v>15334.400347222225</v>
      </c>
      <c r="I7" s="76">
        <f t="shared" si="1"/>
        <v>17348.900000000001</v>
      </c>
      <c r="J7" s="76">
        <f t="shared" si="2"/>
        <v>19325.899652777778</v>
      </c>
      <c r="K7" s="83">
        <f t="shared" si="3"/>
        <v>-2014.4996527777766</v>
      </c>
      <c r="L7" s="83">
        <f>K7^2</f>
        <v>4058208.8510417826</v>
      </c>
    </row>
    <row r="8" spans="1:14" x14ac:dyDescent="0.35">
      <c r="A8" s="75">
        <v>6</v>
      </c>
      <c r="B8" s="76">
        <v>19044.2</v>
      </c>
      <c r="C8" s="76">
        <f t="shared" si="8"/>
        <v>77003.899999999994</v>
      </c>
      <c r="D8" s="76">
        <f t="shared" si="5"/>
        <v>19250.974999999999</v>
      </c>
      <c r="E8" s="76">
        <f t="shared" si="6"/>
        <v>19504.25</v>
      </c>
      <c r="F8" s="96">
        <f t="shared" si="7"/>
        <v>460.04999999999927</v>
      </c>
      <c r="G8" s="78">
        <f>D59</f>
        <v>1060.0427083333325</v>
      </c>
      <c r="H8" s="76">
        <f t="shared" si="0"/>
        <v>17984.15729166667</v>
      </c>
      <c r="I8" s="76">
        <f t="shared" si="1"/>
        <v>17878.68</v>
      </c>
      <c r="J8" s="76">
        <f t="shared" si="2"/>
        <v>18938.722708333335</v>
      </c>
      <c r="K8" s="83">
        <f t="shared" si="3"/>
        <v>105.47729166666613</v>
      </c>
      <c r="L8" s="83">
        <f t="shared" si="4"/>
        <v>11125.459057334956</v>
      </c>
    </row>
    <row r="9" spans="1:14" x14ac:dyDescent="0.35">
      <c r="A9" s="75">
        <v>7</v>
      </c>
      <c r="B9" s="76">
        <v>20544</v>
      </c>
      <c r="C9" s="76">
        <f t="shared" si="8"/>
        <v>79030.100000000006</v>
      </c>
      <c r="D9" s="76">
        <f t="shared" si="5"/>
        <v>19757.525000000001</v>
      </c>
      <c r="E9" s="76">
        <f t="shared" si="6"/>
        <v>19902.087500000001</v>
      </c>
      <c r="F9" s="96">
        <f t="shared" si="7"/>
        <v>-641.91249999999854</v>
      </c>
      <c r="G9" s="78">
        <f>E59</f>
        <v>-701.43784722222222</v>
      </c>
      <c r="H9" s="76">
        <f t="shared" si="0"/>
        <v>21245.437847222223</v>
      </c>
      <c r="I9" s="76">
        <f t="shared" si="1"/>
        <v>18408.46</v>
      </c>
      <c r="J9" s="76">
        <f t="shared" si="2"/>
        <v>17707.022152777776</v>
      </c>
      <c r="K9" s="83">
        <f t="shared" si="3"/>
        <v>2836.9778472222242</v>
      </c>
      <c r="L9" s="83">
        <f t="shared" si="4"/>
        <v>8048443.3056296455</v>
      </c>
    </row>
    <row r="10" spans="1:14" x14ac:dyDescent="0.35">
      <c r="A10" s="75">
        <v>8</v>
      </c>
      <c r="B10" s="76">
        <v>22130.5</v>
      </c>
      <c r="C10" s="76">
        <f t="shared" si="8"/>
        <v>80186.600000000006</v>
      </c>
      <c r="D10" s="76">
        <f t="shared" si="5"/>
        <v>20046.650000000001</v>
      </c>
      <c r="E10" s="76">
        <f t="shared" si="6"/>
        <v>20135</v>
      </c>
      <c r="F10" s="96">
        <f t="shared" si="7"/>
        <v>-1995.5</v>
      </c>
      <c r="G10" s="78">
        <f>F59</f>
        <v>-2335.6045138888871</v>
      </c>
      <c r="H10" s="76">
        <f t="shared" si="0"/>
        <v>24466.104513888888</v>
      </c>
      <c r="I10" s="76">
        <f t="shared" si="1"/>
        <v>18938.239999999998</v>
      </c>
      <c r="J10" s="76">
        <f t="shared" si="2"/>
        <v>16602.63548611111</v>
      </c>
      <c r="K10" s="83">
        <f t="shared" si="3"/>
        <v>5527.8645138888896</v>
      </c>
      <c r="L10" s="83">
        <f t="shared" si="4"/>
        <v>30557286.083912048</v>
      </c>
    </row>
    <row r="11" spans="1:14" x14ac:dyDescent="0.35">
      <c r="A11" s="75">
        <v>9</v>
      </c>
      <c r="B11" s="76">
        <v>18467.900000000001</v>
      </c>
      <c r="C11" s="76">
        <f t="shared" si="8"/>
        <v>80893.399999999994</v>
      </c>
      <c r="D11" s="76">
        <f t="shared" si="5"/>
        <v>20223.349999999999</v>
      </c>
      <c r="E11" s="76">
        <f t="shared" si="6"/>
        <v>20378.924999999999</v>
      </c>
      <c r="F11" s="96">
        <f t="shared" si="7"/>
        <v>1911.0249999999978</v>
      </c>
      <c r="G11" s="78">
        <f>C59</f>
        <v>1976.9996527777766</v>
      </c>
      <c r="H11" s="76">
        <f t="shared" si="0"/>
        <v>16490.900347222225</v>
      </c>
      <c r="I11" s="76">
        <f t="shared" si="1"/>
        <v>19468.02</v>
      </c>
      <c r="J11" s="76">
        <f t="shared" si="2"/>
        <v>21445.019652777777</v>
      </c>
      <c r="K11" s="83">
        <f t="shared" si="3"/>
        <v>-2977.1196527777756</v>
      </c>
      <c r="L11" s="83">
        <f t="shared" si="4"/>
        <v>8863241.4269556627</v>
      </c>
    </row>
    <row r="12" spans="1:14" x14ac:dyDescent="0.35">
      <c r="A12" s="75">
        <v>10</v>
      </c>
      <c r="B12" s="76">
        <v>19751</v>
      </c>
      <c r="C12" s="76">
        <f t="shared" si="8"/>
        <v>82138</v>
      </c>
      <c r="D12" s="76">
        <f t="shared" si="5"/>
        <v>20534.5</v>
      </c>
      <c r="E12" s="76">
        <f t="shared" si="6"/>
        <v>20653.162499999999</v>
      </c>
      <c r="F12" s="96">
        <f t="shared" si="7"/>
        <v>902.16249999999854</v>
      </c>
      <c r="G12" s="78">
        <f>D59</f>
        <v>1060.0427083333325</v>
      </c>
      <c r="H12" s="76">
        <f t="shared" si="0"/>
        <v>18690.957291666666</v>
      </c>
      <c r="I12" s="76">
        <f t="shared" si="1"/>
        <v>19997.8</v>
      </c>
      <c r="J12" s="76">
        <f t="shared" si="2"/>
        <v>21057.84270833333</v>
      </c>
      <c r="K12" s="83">
        <f t="shared" si="3"/>
        <v>-1306.8427083333299</v>
      </c>
      <c r="L12" s="83">
        <f t="shared" si="4"/>
        <v>1707837.8643239927</v>
      </c>
    </row>
    <row r="13" spans="1:14" x14ac:dyDescent="0.35">
      <c r="A13" s="75">
        <v>11</v>
      </c>
      <c r="B13" s="76">
        <v>21788.6</v>
      </c>
      <c r="C13" s="76">
        <f t="shared" si="8"/>
        <v>83087.3</v>
      </c>
      <c r="D13" s="76">
        <f t="shared" si="5"/>
        <v>20771.825000000001</v>
      </c>
      <c r="E13" s="76">
        <f t="shared" si="6"/>
        <v>20823.974999999999</v>
      </c>
      <c r="F13" s="96">
        <f t="shared" si="7"/>
        <v>-964.625</v>
      </c>
      <c r="G13" s="78">
        <f>E59</f>
        <v>-701.43784722222222</v>
      </c>
      <c r="H13" s="76">
        <f t="shared" si="0"/>
        <v>22490.037847222222</v>
      </c>
      <c r="I13" s="76">
        <f t="shared" si="1"/>
        <v>20527.580000000002</v>
      </c>
      <c r="J13" s="76">
        <f t="shared" si="2"/>
        <v>19826.142152777778</v>
      </c>
      <c r="K13" s="83">
        <f t="shared" si="3"/>
        <v>1962.4578472222202</v>
      </c>
      <c r="L13" s="83">
        <f t="shared" si="4"/>
        <v>3851240.8021240709</v>
      </c>
    </row>
    <row r="14" spans="1:14" x14ac:dyDescent="0.35">
      <c r="A14" s="75">
        <v>12</v>
      </c>
      <c r="B14" s="76">
        <v>23079.8</v>
      </c>
      <c r="C14" s="76">
        <f t="shared" si="8"/>
        <v>83504.5</v>
      </c>
      <c r="D14" s="76">
        <f t="shared" si="5"/>
        <v>20876.125</v>
      </c>
      <c r="E14" s="76">
        <f t="shared" si="6"/>
        <v>20963.775000000001</v>
      </c>
      <c r="F14" s="96">
        <f t="shared" si="7"/>
        <v>-2116.0249999999978</v>
      </c>
      <c r="G14" s="78">
        <f>F59</f>
        <v>-2335.6045138888871</v>
      </c>
      <c r="H14" s="76">
        <f t="shared" si="0"/>
        <v>25415.404513888887</v>
      </c>
      <c r="I14" s="76">
        <f t="shared" si="1"/>
        <v>21057.360000000001</v>
      </c>
      <c r="J14" s="76">
        <f t="shared" si="2"/>
        <v>18721.755486111113</v>
      </c>
      <c r="K14" s="83">
        <f t="shared" si="3"/>
        <v>4358.0445138888863</v>
      </c>
      <c r="L14" s="83">
        <f t="shared" si="4"/>
        <v>18992551.985037018</v>
      </c>
    </row>
    <row r="15" spans="1:14" x14ac:dyDescent="0.35">
      <c r="A15" s="75">
        <v>13</v>
      </c>
      <c r="B15" s="76">
        <v>18885.099999999999</v>
      </c>
      <c r="C15" s="76">
        <f t="shared" si="8"/>
        <v>84205.7</v>
      </c>
      <c r="D15" s="76">
        <f t="shared" si="5"/>
        <v>21051.424999999999</v>
      </c>
      <c r="E15" s="76">
        <f t="shared" si="6"/>
        <v>21107.237499999996</v>
      </c>
      <c r="F15" s="96">
        <f t="shared" si="7"/>
        <v>2222.1374999999971</v>
      </c>
      <c r="G15" s="78">
        <f>C59</f>
        <v>1976.9996527777766</v>
      </c>
      <c r="H15" s="76">
        <f t="shared" si="0"/>
        <v>16908.100347222222</v>
      </c>
      <c r="I15" s="76">
        <f t="shared" si="1"/>
        <v>21587.14</v>
      </c>
      <c r="J15" s="76">
        <f t="shared" si="2"/>
        <v>23564.139652777776</v>
      </c>
      <c r="K15" s="83">
        <f t="shared" si="3"/>
        <v>-4679.0396527777775</v>
      </c>
      <c r="L15" s="83">
        <f t="shared" si="4"/>
        <v>21893412.072266784</v>
      </c>
    </row>
    <row r="16" spans="1:14" x14ac:dyDescent="0.35">
      <c r="A16" s="75">
        <v>14</v>
      </c>
      <c r="B16" s="76">
        <v>20452.2</v>
      </c>
      <c r="C16" s="76">
        <f t="shared" si="8"/>
        <v>84652.199999999983</v>
      </c>
      <c r="D16" s="76">
        <f t="shared" si="5"/>
        <v>21163.049999999996</v>
      </c>
      <c r="E16" s="76">
        <f t="shared" si="6"/>
        <v>21283.524999999998</v>
      </c>
      <c r="F16" s="96">
        <f t="shared" si="7"/>
        <v>831.32499999999709</v>
      </c>
      <c r="G16" s="78">
        <f>D59</f>
        <v>1060.0427083333325</v>
      </c>
      <c r="H16" s="76">
        <f t="shared" si="0"/>
        <v>19392.15729166667</v>
      </c>
      <c r="I16" s="76">
        <f t="shared" si="1"/>
        <v>22116.92</v>
      </c>
      <c r="J16" s="76">
        <f t="shared" si="2"/>
        <v>23176.962708333333</v>
      </c>
      <c r="K16" s="83">
        <f t="shared" si="3"/>
        <v>-2724.7627083333318</v>
      </c>
      <c r="L16" s="83">
        <f t="shared" si="4"/>
        <v>7424331.816723994</v>
      </c>
    </row>
    <row r="17" spans="1:22" x14ac:dyDescent="0.35">
      <c r="A17" s="75">
        <v>15</v>
      </c>
      <c r="B17" s="76">
        <v>22235.1</v>
      </c>
      <c r="C17" s="76">
        <f t="shared" si="8"/>
        <v>85616</v>
      </c>
      <c r="D17" s="76">
        <f t="shared" si="5"/>
        <v>21404</v>
      </c>
      <c r="E17" s="76">
        <f t="shared" si="6"/>
        <v>21616.625</v>
      </c>
      <c r="F17" s="96">
        <f t="shared" si="7"/>
        <v>-618.47499999999854</v>
      </c>
      <c r="G17" s="78">
        <f>E59</f>
        <v>-701.43784722222222</v>
      </c>
      <c r="H17" s="76">
        <f t="shared" si="0"/>
        <v>22936.537847222222</v>
      </c>
      <c r="I17" s="76">
        <f t="shared" si="1"/>
        <v>22646.7</v>
      </c>
      <c r="J17" s="76">
        <f t="shared" si="2"/>
        <v>21945.262152777777</v>
      </c>
      <c r="K17" s="83">
        <f t="shared" si="3"/>
        <v>289.83784722222117</v>
      </c>
      <c r="L17" s="83">
        <f t="shared" si="4"/>
        <v>84005.977682411627</v>
      </c>
    </row>
    <row r="18" spans="1:22" x14ac:dyDescent="0.35">
      <c r="A18" s="75">
        <v>16</v>
      </c>
      <c r="B18" s="76">
        <v>24043.599999999999</v>
      </c>
      <c r="C18" s="76">
        <f t="shared" si="8"/>
        <v>87317</v>
      </c>
      <c r="D18" s="76">
        <f t="shared" si="5"/>
        <v>21829.25</v>
      </c>
      <c r="E18" s="76">
        <f t="shared" si="6"/>
        <v>22012.424999999999</v>
      </c>
      <c r="F18" s="96">
        <f t="shared" si="7"/>
        <v>-2031.1749999999993</v>
      </c>
      <c r="G18" s="78">
        <f>F59</f>
        <v>-2335.6045138888871</v>
      </c>
      <c r="H18" s="76">
        <f t="shared" si="0"/>
        <v>26379.204513888886</v>
      </c>
      <c r="I18" s="76">
        <f t="shared" si="1"/>
        <v>23176.48</v>
      </c>
      <c r="J18" s="76">
        <f t="shared" si="2"/>
        <v>20840.875486111112</v>
      </c>
      <c r="K18" s="83">
        <f t="shared" si="3"/>
        <v>3202.7245138888866</v>
      </c>
      <c r="L18" s="83">
        <f t="shared" si="4"/>
        <v>10257444.311864804</v>
      </c>
    </row>
    <row r="19" spans="1:22" x14ac:dyDescent="0.35">
      <c r="A19" s="75">
        <v>17</v>
      </c>
      <c r="B19" s="76">
        <v>20586.099999999999</v>
      </c>
      <c r="C19" s="76">
        <f t="shared" si="8"/>
        <v>88782.399999999994</v>
      </c>
      <c r="D19" s="76">
        <f t="shared" si="5"/>
        <v>22195.599999999999</v>
      </c>
      <c r="E19" s="76">
        <f t="shared" si="6"/>
        <v>22380.987499999996</v>
      </c>
      <c r="F19" s="96">
        <f t="shared" si="7"/>
        <v>1794.8874999999971</v>
      </c>
      <c r="G19" s="78">
        <f>C59</f>
        <v>1976.9996527777766</v>
      </c>
      <c r="H19" s="76">
        <f t="shared" si="0"/>
        <v>18609.100347222222</v>
      </c>
      <c r="I19" s="76">
        <f t="shared" si="1"/>
        <v>23706.260000000002</v>
      </c>
      <c r="J19" s="76">
        <f t="shared" si="2"/>
        <v>25683.259652777779</v>
      </c>
      <c r="K19" s="83">
        <f t="shared" si="3"/>
        <v>-5097.1596527777801</v>
      </c>
      <c r="L19" s="83">
        <f t="shared" si="4"/>
        <v>25981036.525905699</v>
      </c>
    </row>
    <row r="20" spans="1:22" x14ac:dyDescent="0.35">
      <c r="A20" s="75">
        <v>18</v>
      </c>
      <c r="B20" s="76">
        <v>21917.599999999999</v>
      </c>
      <c r="C20" s="76">
        <f t="shared" si="8"/>
        <v>90265.499999999985</v>
      </c>
      <c r="D20" s="76">
        <f t="shared" si="5"/>
        <v>22566.374999999996</v>
      </c>
      <c r="E20" s="76">
        <f t="shared" si="6"/>
        <v>22763.574999999997</v>
      </c>
      <c r="F20" s="96">
        <f t="shared" si="7"/>
        <v>845.97499999999854</v>
      </c>
      <c r="G20" s="78">
        <f>D59</f>
        <v>1060.0427083333325</v>
      </c>
      <c r="H20" s="76">
        <f t="shared" si="0"/>
        <v>20857.557291666664</v>
      </c>
      <c r="I20" s="76">
        <f t="shared" si="1"/>
        <v>24236.04</v>
      </c>
      <c r="J20" s="76">
        <f t="shared" si="2"/>
        <v>25296.082708333335</v>
      </c>
      <c r="K20" s="83">
        <f t="shared" si="3"/>
        <v>-3378.4827083333366</v>
      </c>
      <c r="L20" s="83">
        <f t="shared" si="4"/>
        <v>11414145.410507357</v>
      </c>
    </row>
    <row r="21" spans="1:22" x14ac:dyDescent="0.35">
      <c r="A21" s="75">
        <v>19</v>
      </c>
      <c r="B21" s="76">
        <v>23718.2</v>
      </c>
      <c r="C21" s="76">
        <f t="shared" si="8"/>
        <v>91843.099999999991</v>
      </c>
      <c r="D21" s="76">
        <f t="shared" si="5"/>
        <v>22960.774999999998</v>
      </c>
      <c r="E21" s="76">
        <f t="shared" si="6"/>
        <v>23196.824999999997</v>
      </c>
      <c r="F21" s="96">
        <f t="shared" si="7"/>
        <v>-521.37500000000364</v>
      </c>
      <c r="G21" s="78">
        <f>E59</f>
        <v>-701.43784722222222</v>
      </c>
      <c r="H21" s="76">
        <f t="shared" si="0"/>
        <v>24419.637847222224</v>
      </c>
      <c r="I21" s="76">
        <f t="shared" si="1"/>
        <v>24765.82</v>
      </c>
      <c r="J21" s="76">
        <f t="shared" si="2"/>
        <v>24064.382152777776</v>
      </c>
      <c r="K21" s="83">
        <f t="shared" si="3"/>
        <v>-346.18215277777563</v>
      </c>
      <c r="L21" s="83">
        <f t="shared" si="4"/>
        <v>119842.08290185519</v>
      </c>
    </row>
    <row r="22" spans="1:22" x14ac:dyDescent="0.35">
      <c r="A22" s="75">
        <v>20</v>
      </c>
      <c r="B22" s="76">
        <v>25621.200000000001</v>
      </c>
      <c r="C22" s="76">
        <f t="shared" si="8"/>
        <v>93731.5</v>
      </c>
      <c r="D22" s="76">
        <f t="shared" si="5"/>
        <v>23432.875</v>
      </c>
      <c r="E22" s="76">
        <f t="shared" si="6"/>
        <v>23814.400000000001</v>
      </c>
      <c r="F22" s="96">
        <f t="shared" si="7"/>
        <v>-1806.7999999999993</v>
      </c>
      <c r="G22" s="78">
        <f>F59</f>
        <v>-2335.6045138888871</v>
      </c>
      <c r="H22" s="76">
        <f t="shared" si="0"/>
        <v>27956.804513888888</v>
      </c>
      <c r="I22" s="76">
        <f t="shared" si="1"/>
        <v>25295.599999999999</v>
      </c>
      <c r="J22" s="76">
        <f t="shared" si="2"/>
        <v>22959.995486111111</v>
      </c>
      <c r="K22" s="83">
        <f t="shared" si="3"/>
        <v>2661.2045138888898</v>
      </c>
      <c r="L22" s="83">
        <f t="shared" si="4"/>
        <v>7082009.4647426018</v>
      </c>
    </row>
    <row r="23" spans="1:22" x14ac:dyDescent="0.35">
      <c r="A23" s="75">
        <v>21</v>
      </c>
      <c r="B23" s="76">
        <v>22474.5</v>
      </c>
      <c r="C23" s="76">
        <f t="shared" si="8"/>
        <v>96783.7</v>
      </c>
      <c r="D23" s="76">
        <f t="shared" si="5"/>
        <v>24195.924999999999</v>
      </c>
      <c r="E23" s="76">
        <f t="shared" si="6"/>
        <v>24630.75</v>
      </c>
      <c r="F23" s="96">
        <f t="shared" si="7"/>
        <v>2156.25</v>
      </c>
      <c r="G23" s="78">
        <f>C59</f>
        <v>1976.9996527777766</v>
      </c>
      <c r="H23" s="76">
        <f t="shared" si="0"/>
        <v>20497.500347222223</v>
      </c>
      <c r="I23" s="76">
        <f t="shared" si="1"/>
        <v>25825.379999999997</v>
      </c>
      <c r="J23" s="76">
        <f t="shared" si="2"/>
        <v>27802.379652777774</v>
      </c>
      <c r="K23" s="83">
        <f t="shared" si="3"/>
        <v>-5327.879652777774</v>
      </c>
      <c r="L23" s="83">
        <f t="shared" si="4"/>
        <v>28386301.594483413</v>
      </c>
    </row>
    <row r="24" spans="1:22" x14ac:dyDescent="0.35">
      <c r="A24" s="75">
        <v>22</v>
      </c>
      <c r="B24" s="76">
        <v>24969.8</v>
      </c>
      <c r="C24" s="76">
        <f t="shared" si="8"/>
        <v>100262.3</v>
      </c>
      <c r="D24" s="76">
        <f t="shared" si="5"/>
        <v>25065.575000000001</v>
      </c>
      <c r="E24" s="76">
        <f t="shared" si="6"/>
        <v>25515.5</v>
      </c>
      <c r="F24" s="96">
        <f t="shared" si="7"/>
        <v>545.70000000000073</v>
      </c>
      <c r="G24" s="78">
        <f>D59</f>
        <v>1060.0427083333325</v>
      </c>
      <c r="H24" s="76">
        <f t="shared" si="0"/>
        <v>23909.757291666669</v>
      </c>
      <c r="I24" s="76">
        <f t="shared" si="1"/>
        <v>26355.16</v>
      </c>
      <c r="J24" s="76">
        <f t="shared" si="2"/>
        <v>27415.202708333331</v>
      </c>
      <c r="K24" s="83">
        <f t="shared" si="3"/>
        <v>-2445.4027083333312</v>
      </c>
      <c r="L24" s="83">
        <f t="shared" si="4"/>
        <v>5979994.4059239915</v>
      </c>
    </row>
    <row r="25" spans="1:22" x14ac:dyDescent="0.35">
      <c r="A25" s="75">
        <v>23</v>
      </c>
      <c r="B25" s="76">
        <v>27196.799999999999</v>
      </c>
      <c r="C25" s="76">
        <f t="shared" si="8"/>
        <v>103861.70000000001</v>
      </c>
      <c r="D25" s="76">
        <f t="shared" si="5"/>
        <v>25965.425000000003</v>
      </c>
      <c r="E25" s="76">
        <f t="shared" si="6"/>
        <v>26232.1875</v>
      </c>
      <c r="F25" s="96">
        <f t="shared" si="7"/>
        <v>-964.61249999999927</v>
      </c>
      <c r="G25" s="78">
        <f>E59</f>
        <v>-701.43784722222222</v>
      </c>
      <c r="H25" s="76">
        <f t="shared" si="0"/>
        <v>27898.237847222223</v>
      </c>
      <c r="I25" s="76">
        <f t="shared" si="1"/>
        <v>26884.94</v>
      </c>
      <c r="J25" s="76">
        <f t="shared" si="2"/>
        <v>26183.502152777775</v>
      </c>
      <c r="K25" s="83">
        <f t="shared" si="3"/>
        <v>1013.2978472222239</v>
      </c>
      <c r="L25" s="83">
        <f t="shared" si="4"/>
        <v>1026772.5271851935</v>
      </c>
    </row>
    <row r="26" spans="1:22" x14ac:dyDescent="0.35">
      <c r="A26" s="75">
        <v>24</v>
      </c>
      <c r="B26" s="76">
        <v>29220.6</v>
      </c>
      <c r="C26" s="76">
        <f t="shared" si="8"/>
        <v>105995.79999999999</v>
      </c>
      <c r="D26" s="76">
        <f t="shared" si="5"/>
        <v>26498.949999999997</v>
      </c>
      <c r="E26" s="76">
        <f t="shared" si="6"/>
        <v>26706.3</v>
      </c>
      <c r="F26" s="96">
        <f t="shared" si="7"/>
        <v>-2514.2999999999993</v>
      </c>
      <c r="G26" s="78">
        <f>F59</f>
        <v>-2335.6045138888871</v>
      </c>
      <c r="H26" s="76">
        <f t="shared" si="0"/>
        <v>31556.204513888886</v>
      </c>
      <c r="I26" s="76">
        <f t="shared" si="1"/>
        <v>27414.720000000001</v>
      </c>
      <c r="J26" s="76">
        <f t="shared" si="2"/>
        <v>25079.115486111114</v>
      </c>
      <c r="K26" s="83">
        <f t="shared" si="3"/>
        <v>4141.484513888885</v>
      </c>
      <c r="L26" s="83">
        <f t="shared" si="4"/>
        <v>17151893.978781454</v>
      </c>
    </row>
    <row r="27" spans="1:22" x14ac:dyDescent="0.35">
      <c r="A27" s="75">
        <v>25</v>
      </c>
      <c r="B27" s="76">
        <v>24608.6</v>
      </c>
      <c r="C27" s="76">
        <f t="shared" si="8"/>
        <v>107654.6</v>
      </c>
      <c r="D27" s="76">
        <f t="shared" si="5"/>
        <v>26913.65</v>
      </c>
      <c r="E27" s="76">
        <f t="shared" si="6"/>
        <v>27057.3</v>
      </c>
      <c r="F27" s="96">
        <f t="shared" si="7"/>
        <v>2448.7000000000007</v>
      </c>
      <c r="G27" s="78">
        <f>C59</f>
        <v>1976.9996527777766</v>
      </c>
      <c r="H27" s="76">
        <f t="shared" si="0"/>
        <v>22631.600347222222</v>
      </c>
      <c r="I27" s="76">
        <f t="shared" si="1"/>
        <v>27944.5</v>
      </c>
      <c r="J27" s="76">
        <f t="shared" si="2"/>
        <v>29921.499652777777</v>
      </c>
      <c r="K27" s="83">
        <f t="shared" si="3"/>
        <v>-5312.8996527777781</v>
      </c>
      <c r="L27" s="83">
        <f t="shared" si="4"/>
        <v>28226902.720486235</v>
      </c>
    </row>
    <row r="28" spans="1:22" x14ac:dyDescent="0.35">
      <c r="A28" s="75">
        <v>26</v>
      </c>
      <c r="B28" s="76">
        <v>26628.6</v>
      </c>
      <c r="C28" s="76">
        <f t="shared" si="8"/>
        <v>108803.79999999999</v>
      </c>
      <c r="D28" s="76">
        <f t="shared" si="5"/>
        <v>27200.949999999997</v>
      </c>
      <c r="E28" s="76">
        <f t="shared" si="6"/>
        <v>27301.512499999997</v>
      </c>
      <c r="F28" s="96">
        <f t="shared" si="7"/>
        <v>672.91249999999854</v>
      </c>
      <c r="G28" s="78">
        <f>D59</f>
        <v>1060.0427083333325</v>
      </c>
      <c r="H28" s="76">
        <f t="shared" si="0"/>
        <v>25568.557291666664</v>
      </c>
      <c r="I28" s="76">
        <f t="shared" si="1"/>
        <v>28474.28</v>
      </c>
      <c r="J28" s="76">
        <f t="shared" si="2"/>
        <v>29534.322708333333</v>
      </c>
      <c r="K28" s="83">
        <f t="shared" si="3"/>
        <v>-2905.7227083333346</v>
      </c>
      <c r="L28" s="83">
        <f t="shared" si="4"/>
        <v>8443224.4577240087</v>
      </c>
    </row>
    <row r="29" spans="1:22" x14ac:dyDescent="0.35">
      <c r="A29" s="75">
        <v>27</v>
      </c>
      <c r="B29" s="76">
        <v>28346</v>
      </c>
      <c r="C29" s="76">
        <f t="shared" si="8"/>
        <v>109608.29999999999</v>
      </c>
      <c r="D29" s="76">
        <f t="shared" si="5"/>
        <v>27402.074999999997</v>
      </c>
      <c r="E29" s="76">
        <f t="shared" si="6"/>
        <v>27434.25</v>
      </c>
      <c r="F29" s="96">
        <f t="shared" si="7"/>
        <v>-911.75</v>
      </c>
      <c r="G29" s="78">
        <f>E59</f>
        <v>-701.43784722222222</v>
      </c>
      <c r="H29" s="76">
        <f t="shared" si="0"/>
        <v>29047.437847222223</v>
      </c>
      <c r="I29" s="76">
        <f t="shared" si="1"/>
        <v>29004.059999999998</v>
      </c>
      <c r="J29" s="76">
        <f t="shared" si="2"/>
        <v>28302.622152777774</v>
      </c>
      <c r="K29" s="83">
        <f t="shared" si="3"/>
        <v>43.377847222225682</v>
      </c>
      <c r="L29" s="83">
        <f t="shared" si="4"/>
        <v>1881.6376296347523</v>
      </c>
    </row>
    <row r="30" spans="1:22" x14ac:dyDescent="0.35">
      <c r="A30" s="75">
        <v>28</v>
      </c>
      <c r="B30" s="76">
        <v>30025.1</v>
      </c>
      <c r="C30" s="76">
        <f t="shared" si="8"/>
        <v>109865.7</v>
      </c>
      <c r="D30" s="76">
        <f t="shared" si="5"/>
        <v>27466.424999999999</v>
      </c>
      <c r="E30" s="76">
        <f t="shared" si="6"/>
        <v>27109.775000000001</v>
      </c>
      <c r="F30" s="96">
        <f t="shared" si="7"/>
        <v>-2915.3249999999971</v>
      </c>
      <c r="G30" s="78">
        <f>F59</f>
        <v>-2335.6045138888871</v>
      </c>
      <c r="H30" s="76">
        <f t="shared" si="0"/>
        <v>32360.704513888886</v>
      </c>
      <c r="I30" s="76">
        <f t="shared" si="1"/>
        <v>29533.84</v>
      </c>
      <c r="J30" s="76">
        <f t="shared" si="2"/>
        <v>27198.235486111113</v>
      </c>
      <c r="K30" s="83">
        <f t="shared" si="3"/>
        <v>2826.864513888886</v>
      </c>
      <c r="L30" s="83">
        <f t="shared" si="4"/>
        <v>7991162.9798842473</v>
      </c>
    </row>
    <row r="31" spans="1:22" x14ac:dyDescent="0.35">
      <c r="A31" s="75">
        <v>29</v>
      </c>
      <c r="B31" s="76">
        <v>24866</v>
      </c>
      <c r="C31" s="76">
        <f t="shared" si="8"/>
        <v>107012.5</v>
      </c>
      <c r="D31" s="76">
        <f t="shared" si="5"/>
        <v>26753.125</v>
      </c>
      <c r="E31" s="76">
        <f t="shared" si="6"/>
        <v>26683.162499999999</v>
      </c>
      <c r="F31" s="96">
        <f t="shared" si="7"/>
        <v>1817.1624999999985</v>
      </c>
      <c r="G31" s="78">
        <f>C59</f>
        <v>1976.9996527777766</v>
      </c>
      <c r="H31" s="76">
        <f t="shared" si="0"/>
        <v>22889.000347222223</v>
      </c>
      <c r="I31" s="76">
        <f t="shared" si="1"/>
        <v>30063.62</v>
      </c>
      <c r="J31" s="76">
        <f t="shared" si="2"/>
        <v>32040.619652777776</v>
      </c>
      <c r="K31" s="83">
        <f t="shared" si="3"/>
        <v>-7174.6196527777756</v>
      </c>
      <c r="L31" s="83">
        <f t="shared" si="4"/>
        <v>51475167.162025087</v>
      </c>
      <c r="S31" s="97"/>
      <c r="T31" s="97"/>
      <c r="U31" s="97"/>
      <c r="V31" s="97"/>
    </row>
    <row r="32" spans="1:22" x14ac:dyDescent="0.35">
      <c r="A32" s="75">
        <v>30</v>
      </c>
      <c r="B32" s="76">
        <v>23775.4</v>
      </c>
      <c r="C32" s="76">
        <f t="shared" si="8"/>
        <v>106452.8</v>
      </c>
      <c r="D32" s="76">
        <f t="shared" si="5"/>
        <v>26613.200000000001</v>
      </c>
      <c r="E32" s="76">
        <f t="shared" si="6"/>
        <v>26763.875</v>
      </c>
      <c r="F32" s="96">
        <f t="shared" si="7"/>
        <v>2988.4749999999985</v>
      </c>
      <c r="G32" s="78">
        <f>D59</f>
        <v>1060.0427083333325</v>
      </c>
      <c r="H32" s="76">
        <f t="shared" si="0"/>
        <v>22715.357291666667</v>
      </c>
      <c r="I32" s="76">
        <f t="shared" si="1"/>
        <v>30593.4</v>
      </c>
      <c r="J32" s="76">
        <f t="shared" si="2"/>
        <v>31653.442708333336</v>
      </c>
      <c r="K32" s="83">
        <f t="shared" si="3"/>
        <v>-7878.0427083333343</v>
      </c>
      <c r="L32" s="83">
        <f t="shared" si="4"/>
        <v>62063556.914324015</v>
      </c>
      <c r="S32" s="97"/>
      <c r="T32" s="97"/>
      <c r="U32" s="97"/>
      <c r="V32" s="97"/>
    </row>
    <row r="33" spans="1:22" x14ac:dyDescent="0.35">
      <c r="A33" s="75">
        <v>31</v>
      </c>
      <c r="B33" s="76">
        <v>27786.3</v>
      </c>
      <c r="C33" s="76">
        <f t="shared" si="8"/>
        <v>107658.2</v>
      </c>
      <c r="D33" s="76">
        <f t="shared" si="5"/>
        <v>26914.55</v>
      </c>
      <c r="E33" s="76">
        <f t="shared" si="6"/>
        <v>27298.775000000001</v>
      </c>
      <c r="F33" s="96">
        <f t="shared" si="7"/>
        <v>-487.52499999999782</v>
      </c>
      <c r="G33" s="78">
        <f>E59</f>
        <v>-701.43784722222222</v>
      </c>
      <c r="H33" s="76">
        <f t="shared" si="0"/>
        <v>28487.737847222223</v>
      </c>
      <c r="I33" s="76">
        <f t="shared" si="1"/>
        <v>31123.18</v>
      </c>
      <c r="J33" s="76">
        <f t="shared" si="2"/>
        <v>30421.742152777777</v>
      </c>
      <c r="K33" s="83">
        <f t="shared" si="3"/>
        <v>-2635.4421527777777</v>
      </c>
      <c r="L33" s="83">
        <f t="shared" si="4"/>
        <v>6945555.340637967</v>
      </c>
      <c r="S33" s="97"/>
      <c r="T33" s="97"/>
      <c r="U33" s="97"/>
      <c r="V33" s="97"/>
    </row>
    <row r="34" spans="1:22" x14ac:dyDescent="0.35">
      <c r="A34" s="75">
        <v>32</v>
      </c>
      <c r="B34" s="76">
        <v>31230.5</v>
      </c>
      <c r="C34" s="76">
        <f t="shared" si="8"/>
        <v>110732</v>
      </c>
      <c r="D34" s="76">
        <f t="shared" si="5"/>
        <v>27683</v>
      </c>
      <c r="E34" s="76">
        <f t="shared" si="6"/>
        <v>28696.712500000001</v>
      </c>
      <c r="F34" s="96">
        <f t="shared" si="7"/>
        <v>-2533.7874999999985</v>
      </c>
      <c r="G34" s="78">
        <f>F59</f>
        <v>-2335.6045138888871</v>
      </c>
      <c r="H34" s="76">
        <f t="shared" si="0"/>
        <v>33566.104513888888</v>
      </c>
      <c r="I34" s="76">
        <f t="shared" si="1"/>
        <v>31652.959999999999</v>
      </c>
      <c r="J34" s="76">
        <f t="shared" si="2"/>
        <v>29317.355486111112</v>
      </c>
      <c r="K34" s="83">
        <f t="shared" si="3"/>
        <v>1913.1445138888885</v>
      </c>
      <c r="L34" s="83">
        <f t="shared" si="4"/>
        <v>3660121.9310231511</v>
      </c>
      <c r="S34" s="97"/>
      <c r="T34" s="97"/>
      <c r="U34" s="97"/>
      <c r="V34" s="97"/>
    </row>
    <row r="35" spans="1:22" x14ac:dyDescent="0.35">
      <c r="A35" s="75">
        <v>33</v>
      </c>
      <c r="B35" s="76">
        <v>27939.8</v>
      </c>
      <c r="C35" s="76">
        <f t="shared" si="8"/>
        <v>118841.70000000001</v>
      </c>
      <c r="D35" s="76">
        <f t="shared" si="5"/>
        <v>29710.425000000003</v>
      </c>
      <c r="E35" s="76">
        <f t="shared" si="6"/>
        <v>30656.95</v>
      </c>
      <c r="F35" s="96">
        <f t="shared" si="7"/>
        <v>2717.1500000000015</v>
      </c>
      <c r="G35" s="78">
        <f>C59</f>
        <v>1976.9996527777766</v>
      </c>
      <c r="H35" s="76">
        <f t="shared" si="0"/>
        <v>25962.800347222223</v>
      </c>
      <c r="I35" s="76">
        <f t="shared" si="1"/>
        <v>32182.739999999998</v>
      </c>
      <c r="J35" s="76">
        <f t="shared" si="2"/>
        <v>34159.739652777775</v>
      </c>
      <c r="K35" s="83">
        <f t="shared" si="3"/>
        <v>-6219.9396527777753</v>
      </c>
      <c r="L35" s="83">
        <f t="shared" si="4"/>
        <v>38687649.284197316</v>
      </c>
      <c r="S35" s="97"/>
      <c r="T35" s="97"/>
      <c r="U35" s="97"/>
      <c r="V35" s="97"/>
    </row>
    <row r="36" spans="1:22" x14ac:dyDescent="0.35">
      <c r="A36" s="75">
        <v>34</v>
      </c>
      <c r="B36" s="76">
        <v>31885.1</v>
      </c>
      <c r="C36" s="76">
        <f t="shared" si="8"/>
        <v>126413.9</v>
      </c>
      <c r="D36" s="76">
        <f t="shared" si="5"/>
        <v>31603.474999999999</v>
      </c>
      <c r="E36" s="76">
        <f t="shared" si="6"/>
        <v>32713.599999999999</v>
      </c>
      <c r="F36" s="96">
        <f t="shared" si="7"/>
        <v>828.5</v>
      </c>
      <c r="G36" s="78">
        <f>D59</f>
        <v>1060.0427083333325</v>
      </c>
      <c r="H36" s="76">
        <f t="shared" si="0"/>
        <v>30825.057291666664</v>
      </c>
      <c r="I36" s="76">
        <f t="shared" si="1"/>
        <v>32712.52</v>
      </c>
      <c r="J36" s="76">
        <f t="shared" si="2"/>
        <v>33772.562708333331</v>
      </c>
      <c r="K36" s="83">
        <f t="shared" si="3"/>
        <v>-1887.4627083333326</v>
      </c>
      <c r="L36" s="83">
        <f t="shared" si="4"/>
        <v>3562515.4753489988</v>
      </c>
      <c r="S36" s="97"/>
      <c r="T36" s="97"/>
      <c r="U36" s="97"/>
      <c r="V36" s="97"/>
    </row>
    <row r="37" spans="1:22" x14ac:dyDescent="0.35">
      <c r="A37" s="75">
        <v>35</v>
      </c>
      <c r="B37" s="76">
        <v>35358.5</v>
      </c>
      <c r="C37" s="76">
        <f t="shared" si="8"/>
        <v>135294.9</v>
      </c>
      <c r="D37" s="76">
        <f t="shared" si="5"/>
        <v>33823.724999999999</v>
      </c>
      <c r="E37" s="76">
        <f t="shared" si="6"/>
        <v>34881.0625</v>
      </c>
      <c r="F37" s="96">
        <f t="shared" si="7"/>
        <v>-477.4375</v>
      </c>
      <c r="G37" s="78">
        <f>E59</f>
        <v>-701.43784722222222</v>
      </c>
      <c r="H37" s="76">
        <f t="shared" si="0"/>
        <v>36059.937847222223</v>
      </c>
      <c r="I37" s="76">
        <f t="shared" si="1"/>
        <v>33242.300000000003</v>
      </c>
      <c r="J37" s="76">
        <f t="shared" si="2"/>
        <v>32540.86215277778</v>
      </c>
      <c r="K37" s="83">
        <f t="shared" si="3"/>
        <v>2817.6378472222204</v>
      </c>
      <c r="L37" s="83">
        <f t="shared" si="4"/>
        <v>7939083.0380990691</v>
      </c>
      <c r="S37" s="97"/>
      <c r="T37" s="97"/>
      <c r="U37" s="97"/>
      <c r="V37" s="97"/>
    </row>
    <row r="38" spans="1:22" x14ac:dyDescent="0.35">
      <c r="A38" s="75">
        <v>36</v>
      </c>
      <c r="B38" s="76">
        <v>40111.5</v>
      </c>
      <c r="C38" s="76">
        <f t="shared" si="8"/>
        <v>143753.60000000001</v>
      </c>
      <c r="D38" s="76">
        <f t="shared" si="5"/>
        <v>35938.400000000001</v>
      </c>
      <c r="E38" s="76">
        <f t="shared" si="6"/>
        <v>36520.287500000006</v>
      </c>
      <c r="F38" s="96">
        <f t="shared" si="7"/>
        <v>-3591.2124999999942</v>
      </c>
      <c r="G38" s="78">
        <f>F59</f>
        <v>-2335.6045138888871</v>
      </c>
      <c r="H38" s="76">
        <f t="shared" si="0"/>
        <v>42447.104513888888</v>
      </c>
      <c r="I38" s="76">
        <f t="shared" si="1"/>
        <v>33772.080000000002</v>
      </c>
      <c r="J38" s="76">
        <f t="shared" si="2"/>
        <v>31436.475486111114</v>
      </c>
      <c r="K38" s="83">
        <f t="shared" si="3"/>
        <v>8675.0245138888858</v>
      </c>
      <c r="L38" s="83">
        <f t="shared" si="4"/>
        <v>75256050.316573098</v>
      </c>
      <c r="S38" s="97"/>
      <c r="T38" s="97"/>
      <c r="U38" s="97"/>
      <c r="V38" s="97"/>
    </row>
    <row r="39" spans="1:22" x14ac:dyDescent="0.35">
      <c r="A39" s="75">
        <v>37</v>
      </c>
      <c r="B39" s="76">
        <v>36398.5</v>
      </c>
      <c r="C39" s="76">
        <f t="shared" si="8"/>
        <v>148408.70000000001</v>
      </c>
      <c r="D39" s="76">
        <f t="shared" si="5"/>
        <v>37102.175000000003</v>
      </c>
      <c r="E39" s="76">
        <f t="shared" si="6"/>
        <v>37463</v>
      </c>
      <c r="F39" s="96">
        <f t="shared" si="7"/>
        <v>1064.5</v>
      </c>
      <c r="G39" s="78">
        <f>C59</f>
        <v>1976.9996527777766</v>
      </c>
      <c r="H39" s="76">
        <f t="shared" si="0"/>
        <v>34421.500347222223</v>
      </c>
      <c r="I39" s="76">
        <f t="shared" si="1"/>
        <v>34301.86</v>
      </c>
      <c r="J39" s="76">
        <f t="shared" si="2"/>
        <v>36278.859652777777</v>
      </c>
      <c r="K39" s="83">
        <f t="shared" si="3"/>
        <v>119.64034722222277</v>
      </c>
      <c r="L39" s="83">
        <f t="shared" si="4"/>
        <v>14313.812683454029</v>
      </c>
      <c r="S39" s="97"/>
      <c r="T39" s="97"/>
      <c r="U39" s="97"/>
      <c r="V39" s="97"/>
    </row>
    <row r="40" spans="1:22" x14ac:dyDescent="0.35">
      <c r="A40" s="75">
        <v>38</v>
      </c>
      <c r="B40" s="76">
        <v>36540.199999999997</v>
      </c>
      <c r="C40" s="76">
        <f t="shared" si="8"/>
        <v>151295.29999999999</v>
      </c>
      <c r="D40" s="76">
        <f t="shared" si="5"/>
        <v>37823.824999999997</v>
      </c>
      <c r="E40" s="76">
        <f t="shared" si="6"/>
        <v>38091.3125</v>
      </c>
      <c r="F40" s="96">
        <f t="shared" si="7"/>
        <v>1551.1125000000029</v>
      </c>
      <c r="G40" s="78">
        <f>D59</f>
        <v>1060.0427083333325</v>
      </c>
      <c r="H40" s="76">
        <f t="shared" si="0"/>
        <v>35480.157291666663</v>
      </c>
      <c r="I40" s="76">
        <f t="shared" si="1"/>
        <v>34831.64</v>
      </c>
      <c r="J40" s="76">
        <f t="shared" si="2"/>
        <v>35891.682708333334</v>
      </c>
      <c r="K40" s="83">
        <f t="shared" si="3"/>
        <v>648.51729166666337</v>
      </c>
      <c r="L40" s="83">
        <f t="shared" si="4"/>
        <v>420574.67759066413</v>
      </c>
      <c r="S40" s="97"/>
      <c r="T40" s="97"/>
      <c r="U40" s="97"/>
      <c r="V40" s="97"/>
    </row>
    <row r="41" spans="1:22" x14ac:dyDescent="0.35">
      <c r="A41" s="75">
        <v>39</v>
      </c>
      <c r="B41" s="76">
        <v>38245.1</v>
      </c>
      <c r="C41" s="76">
        <f>B39+B40+B41+B42</f>
        <v>153435.19999999998</v>
      </c>
      <c r="D41" s="76">
        <f t="shared" si="5"/>
        <v>38358.799999999996</v>
      </c>
      <c r="E41" s="76" t="s">
        <v>818</v>
      </c>
      <c r="F41" s="96" t="s">
        <v>818</v>
      </c>
      <c r="G41" s="78">
        <f>E59</f>
        <v>-701.43784722222222</v>
      </c>
      <c r="H41" s="76">
        <f t="shared" si="0"/>
        <v>38946.537847222222</v>
      </c>
      <c r="I41" s="76">
        <f t="shared" si="1"/>
        <v>35361.42</v>
      </c>
      <c r="J41" s="76">
        <f t="shared" si="2"/>
        <v>34659.982152777775</v>
      </c>
      <c r="K41" s="83">
        <f t="shared" si="3"/>
        <v>3585.1178472222236</v>
      </c>
      <c r="L41" s="83">
        <f t="shared" si="4"/>
        <v>12853069.978471311</v>
      </c>
      <c r="S41" s="97"/>
      <c r="T41" s="97"/>
      <c r="U41" s="97"/>
      <c r="V41" s="97"/>
    </row>
    <row r="42" spans="1:22" x14ac:dyDescent="0.35">
      <c r="A42" s="75">
        <v>40</v>
      </c>
      <c r="B42" s="76">
        <v>42251.4</v>
      </c>
      <c r="C42" s="76" t="s">
        <v>818</v>
      </c>
      <c r="D42" s="76" t="s">
        <v>818</v>
      </c>
      <c r="E42" s="76" t="s">
        <v>818</v>
      </c>
      <c r="F42" s="96" t="s">
        <v>818</v>
      </c>
      <c r="G42" s="78">
        <f>F59</f>
        <v>-2335.6045138888871</v>
      </c>
      <c r="H42" s="76">
        <f t="shared" si="0"/>
        <v>44587.004513888889</v>
      </c>
      <c r="I42" s="76">
        <f t="shared" si="1"/>
        <v>35891.199999999997</v>
      </c>
      <c r="J42" s="76">
        <f t="shared" si="2"/>
        <v>33555.595486111109</v>
      </c>
      <c r="K42" s="83">
        <f t="shared" si="3"/>
        <v>8695.804513888892</v>
      </c>
      <c r="L42" s="83">
        <f t="shared" si="4"/>
        <v>75617016.143770427</v>
      </c>
    </row>
    <row r="43" spans="1:22" x14ac:dyDescent="0.35">
      <c r="A43" s="74"/>
      <c r="B43" s="98"/>
      <c r="C43" s="98"/>
      <c r="D43" s="98"/>
      <c r="E43" s="98"/>
      <c r="F43" s="98"/>
      <c r="G43" s="98"/>
      <c r="H43" s="98"/>
      <c r="I43" s="98"/>
      <c r="J43" s="98"/>
      <c r="K43" s="99" t="s">
        <v>263</v>
      </c>
      <c r="L43" s="83">
        <f>SUM(L3:L42)</f>
        <v>640482452.37206066</v>
      </c>
    </row>
    <row r="44" spans="1:22" x14ac:dyDescent="0.35">
      <c r="A44" s="74"/>
      <c r="B44" s="98"/>
      <c r="C44" s="98"/>
      <c r="D44" s="98"/>
      <c r="E44" s="98"/>
      <c r="F44" s="98"/>
      <c r="G44" s="98"/>
      <c r="H44" s="98"/>
      <c r="I44" s="98"/>
      <c r="J44" s="98"/>
      <c r="K44" s="100"/>
      <c r="L44" s="100"/>
    </row>
    <row r="45" spans="1:22" x14ac:dyDescent="0.35">
      <c r="A45" s="101" t="s">
        <v>862</v>
      </c>
      <c r="B45" s="101" t="s">
        <v>863</v>
      </c>
      <c r="C45" s="101" t="s">
        <v>864</v>
      </c>
      <c r="D45" s="101"/>
      <c r="E45" s="101"/>
      <c r="F45" s="101"/>
    </row>
    <row r="46" spans="1:22" x14ac:dyDescent="0.35">
      <c r="A46" s="101"/>
      <c r="B46" s="101"/>
      <c r="C46" s="75">
        <v>1</v>
      </c>
      <c r="D46" s="75">
        <v>2</v>
      </c>
      <c r="E46" s="75">
        <v>3</v>
      </c>
      <c r="F46" s="75">
        <v>4</v>
      </c>
    </row>
    <row r="47" spans="1:22" x14ac:dyDescent="0.35">
      <c r="A47" s="75"/>
      <c r="B47" s="75">
        <v>2013</v>
      </c>
      <c r="C47" s="96" t="str">
        <f>F3</f>
        <v>-</v>
      </c>
      <c r="D47" s="102" t="str">
        <f>F4</f>
        <v>-</v>
      </c>
      <c r="E47" s="96">
        <f>F5</f>
        <v>-639.40000000000146</v>
      </c>
      <c r="F47" s="96">
        <f>F6</f>
        <v>-1430.4874999999993</v>
      </c>
    </row>
    <row r="48" spans="1:22" x14ac:dyDescent="0.35">
      <c r="A48" s="75"/>
      <c r="B48" s="75">
        <v>2014</v>
      </c>
      <c r="C48" s="96">
        <f>F7</f>
        <v>1747.0124999999971</v>
      </c>
      <c r="D48" s="96">
        <f>F8</f>
        <v>460.04999999999927</v>
      </c>
      <c r="E48" s="96">
        <f>F9</f>
        <v>-641.91249999999854</v>
      </c>
      <c r="F48" s="96">
        <f>F10</f>
        <v>-1995.5</v>
      </c>
    </row>
    <row r="49" spans="1:8" x14ac:dyDescent="0.35">
      <c r="A49" s="75"/>
      <c r="B49" s="75">
        <v>2015</v>
      </c>
      <c r="C49" s="96">
        <f>F11</f>
        <v>1911.0249999999978</v>
      </c>
      <c r="D49" s="96">
        <f>F12</f>
        <v>902.16249999999854</v>
      </c>
      <c r="E49" s="96">
        <f>F13</f>
        <v>-964.625</v>
      </c>
      <c r="F49" s="96">
        <f>F14</f>
        <v>-2116.0249999999978</v>
      </c>
    </row>
    <row r="50" spans="1:8" x14ac:dyDescent="0.35">
      <c r="A50" s="75"/>
      <c r="B50" s="75">
        <v>2016</v>
      </c>
      <c r="C50" s="96">
        <f>F15</f>
        <v>2222.1374999999971</v>
      </c>
      <c r="D50" s="96">
        <f>F16</f>
        <v>831.32499999999709</v>
      </c>
      <c r="E50" s="96">
        <f>F17</f>
        <v>-618.47499999999854</v>
      </c>
      <c r="F50" s="96">
        <f>F18</f>
        <v>-2031.1749999999993</v>
      </c>
    </row>
    <row r="51" spans="1:8" x14ac:dyDescent="0.35">
      <c r="A51" s="75"/>
      <c r="B51" s="75">
        <v>2017</v>
      </c>
      <c r="C51" s="96">
        <f>F19</f>
        <v>1794.8874999999971</v>
      </c>
      <c r="D51" s="96">
        <f>F20</f>
        <v>845.97499999999854</v>
      </c>
      <c r="E51" s="96">
        <f>F21</f>
        <v>-521.37500000000364</v>
      </c>
      <c r="F51" s="96">
        <f>F22</f>
        <v>-1806.7999999999993</v>
      </c>
    </row>
    <row r="52" spans="1:8" x14ac:dyDescent="0.35">
      <c r="A52" s="75"/>
      <c r="B52" s="75">
        <v>2018</v>
      </c>
      <c r="C52" s="96">
        <f>F23</f>
        <v>2156.25</v>
      </c>
      <c r="D52" s="96">
        <f>F24</f>
        <v>545.70000000000073</v>
      </c>
      <c r="E52" s="96">
        <f>F25</f>
        <v>-964.61249999999927</v>
      </c>
      <c r="F52" s="96">
        <f>F26</f>
        <v>-2514.2999999999993</v>
      </c>
    </row>
    <row r="53" spans="1:8" x14ac:dyDescent="0.35">
      <c r="A53" s="75"/>
      <c r="B53" s="75">
        <v>2019</v>
      </c>
      <c r="C53" s="96">
        <f>F27</f>
        <v>2448.7000000000007</v>
      </c>
      <c r="D53" s="96">
        <f>F28</f>
        <v>672.91249999999854</v>
      </c>
      <c r="E53" s="96">
        <f>F29</f>
        <v>-911.75</v>
      </c>
      <c r="F53" s="96">
        <f>F30</f>
        <v>-2915.3249999999971</v>
      </c>
    </row>
    <row r="54" spans="1:8" x14ac:dyDescent="0.35">
      <c r="A54" s="75"/>
      <c r="B54" s="75">
        <v>2020</v>
      </c>
      <c r="C54" s="96">
        <f>F31</f>
        <v>1817.1624999999985</v>
      </c>
      <c r="D54" s="96">
        <f>F32</f>
        <v>2988.4749999999985</v>
      </c>
      <c r="E54" s="96">
        <f>F33</f>
        <v>-487.52499999999782</v>
      </c>
      <c r="F54" s="96">
        <f>F34</f>
        <v>-2533.7874999999985</v>
      </c>
    </row>
    <row r="55" spans="1:8" x14ac:dyDescent="0.35">
      <c r="A55" s="75"/>
      <c r="B55" s="75">
        <v>2021</v>
      </c>
      <c r="C55" s="96">
        <f>F35</f>
        <v>2717.1500000000015</v>
      </c>
      <c r="D55" s="96">
        <f>F36</f>
        <v>828.5</v>
      </c>
      <c r="E55" s="96">
        <f>F37</f>
        <v>-477.4375</v>
      </c>
      <c r="F55" s="96">
        <f>F38</f>
        <v>-3591.2124999999942</v>
      </c>
    </row>
    <row r="56" spans="1:8" x14ac:dyDescent="0.35">
      <c r="A56" s="75"/>
      <c r="B56" s="75">
        <v>2022</v>
      </c>
      <c r="C56" s="96">
        <f>F39</f>
        <v>1064.5</v>
      </c>
      <c r="D56" s="96">
        <f>F40</f>
        <v>1551.1125000000029</v>
      </c>
      <c r="E56" s="96" t="str">
        <f>F41</f>
        <v>-</v>
      </c>
      <c r="F56" s="96" t="str">
        <f>F42</f>
        <v>-</v>
      </c>
    </row>
    <row r="57" spans="1:8" x14ac:dyDescent="0.35">
      <c r="A57" s="75" t="s">
        <v>865</v>
      </c>
      <c r="B57" s="75" t="s">
        <v>866</v>
      </c>
      <c r="C57" s="76">
        <f>SUM(C48:C56)</f>
        <v>17878.82499999999</v>
      </c>
      <c r="D57" s="76">
        <f>SUM(D48:D56)</f>
        <v>9626.2124999999942</v>
      </c>
      <c r="E57" s="76">
        <f>SUM(E47:E55)</f>
        <v>-6227.1124999999993</v>
      </c>
      <c r="F57" s="76">
        <f>SUM(F47:F55)</f>
        <v>-20934.612499999985</v>
      </c>
    </row>
    <row r="58" spans="1:8" x14ac:dyDescent="0.35">
      <c r="A58" s="75" t="s">
        <v>867</v>
      </c>
      <c r="B58" s="75" t="s">
        <v>868</v>
      </c>
      <c r="C58" s="76">
        <f>C57/COUNT(C48:C56)</f>
        <v>1986.5361111111099</v>
      </c>
      <c r="D58" s="76">
        <f>D57/COUNT(D48:D56)</f>
        <v>1069.579166666666</v>
      </c>
      <c r="E58" s="76">
        <f>E57/COUNT(E47:E55)</f>
        <v>-691.90138888888885</v>
      </c>
      <c r="F58" s="76">
        <f>F57/COUNT(F47:F55)</f>
        <v>-2326.0680555555537</v>
      </c>
    </row>
    <row r="59" spans="1:8" x14ac:dyDescent="0.35">
      <c r="A59" s="75" t="s">
        <v>869</v>
      </c>
      <c r="B59" s="75"/>
      <c r="C59" s="78">
        <f>C58-$B$63</f>
        <v>1976.9996527777766</v>
      </c>
      <c r="D59" s="78">
        <f>D58-$B$63</f>
        <v>1060.0427083333325</v>
      </c>
      <c r="E59" s="78">
        <f>E58-$B$63</f>
        <v>-701.43784722222222</v>
      </c>
      <c r="F59" s="78">
        <f>F58-$B$63</f>
        <v>-2335.6045138888871</v>
      </c>
      <c r="G59" s="103">
        <f>C59+D59+E59+F59</f>
        <v>0</v>
      </c>
      <c r="H59" t="s">
        <v>870</v>
      </c>
    </row>
    <row r="60" spans="1:8" x14ac:dyDescent="0.35">
      <c r="A60" s="74"/>
      <c r="B60" s="74"/>
      <c r="C60" s="74"/>
      <c r="D60" s="74"/>
      <c r="E60" s="74"/>
      <c r="F60" s="74"/>
    </row>
    <row r="61" spans="1:8" x14ac:dyDescent="0.35">
      <c r="A61" s="74"/>
      <c r="B61" s="74"/>
      <c r="C61" s="74"/>
      <c r="D61" s="74"/>
      <c r="E61" s="74"/>
      <c r="F61" s="74"/>
    </row>
    <row r="62" spans="1:8" x14ac:dyDescent="0.35">
      <c r="A62" s="80" t="s">
        <v>871</v>
      </c>
      <c r="B62" s="80"/>
    </row>
    <row r="63" spans="1:8" x14ac:dyDescent="0.35">
      <c r="A63" s="80" t="s">
        <v>872</v>
      </c>
      <c r="B63" s="104">
        <f>AVERAGE(C58:F58)</f>
        <v>9.5364583333333712</v>
      </c>
    </row>
    <row r="66" spans="1:6" x14ac:dyDescent="0.35">
      <c r="A66" t="s">
        <v>873</v>
      </c>
    </row>
    <row r="67" spans="1:6" x14ac:dyDescent="0.35">
      <c r="A67" s="80" t="s">
        <v>874</v>
      </c>
      <c r="B67" s="83">
        <f>L43</f>
        <v>640482452.37206066</v>
      </c>
      <c r="E67" t="s">
        <v>852</v>
      </c>
    </row>
    <row r="68" spans="1:6" x14ac:dyDescent="0.35">
      <c r="A68" s="80" t="s">
        <v>875</v>
      </c>
      <c r="B68" s="83">
        <f>AVERAGE(B3:B42)</f>
        <v>25560.512499999997</v>
      </c>
      <c r="E68">
        <v>16370</v>
      </c>
      <c r="F68" s="105">
        <f>(E68-$B$68)^2</f>
        <v>84465520.012656197</v>
      </c>
    </row>
    <row r="69" spans="1:6" x14ac:dyDescent="0.35">
      <c r="A69" s="80" t="s">
        <v>876</v>
      </c>
      <c r="B69" s="83">
        <f>SUM(F68:F107)</f>
        <v>1726730534.1037495</v>
      </c>
      <c r="E69">
        <v>17507.900000000001</v>
      </c>
      <c r="F69" s="105">
        <f t="shared" ref="F69:F107" si="9">(E69-$B$68)^2</f>
        <v>64844568.075156182</v>
      </c>
    </row>
    <row r="70" spans="1:6" x14ac:dyDescent="0.35">
      <c r="A70" s="80" t="s">
        <v>877</v>
      </c>
      <c r="B70" s="83">
        <f>1-(B67/B69)</f>
        <v>0.62907793675838386</v>
      </c>
      <c r="E70">
        <v>19003.5</v>
      </c>
      <c r="F70" s="105">
        <f t="shared" si="9"/>
        <v>42994412.925156213</v>
      </c>
    </row>
    <row r="71" spans="1:6" x14ac:dyDescent="0.35">
      <c r="E71">
        <v>20104.3</v>
      </c>
      <c r="F71" s="105">
        <f t="shared" si="9"/>
        <v>29770254.845156226</v>
      </c>
    </row>
    <row r="72" spans="1:6" x14ac:dyDescent="0.35">
      <c r="E72">
        <v>17311.400000000001</v>
      </c>
      <c r="F72" s="105">
        <f t="shared" si="9"/>
        <v>68047857.037656173</v>
      </c>
    </row>
    <row r="73" spans="1:6" x14ac:dyDescent="0.35">
      <c r="E73">
        <v>19044.2</v>
      </c>
      <c r="F73" s="105">
        <f t="shared" si="9"/>
        <v>42462328.597656205</v>
      </c>
    </row>
    <row r="74" spans="1:6" x14ac:dyDescent="0.35">
      <c r="E74">
        <v>20544</v>
      </c>
      <c r="F74" s="105">
        <f t="shared" si="9"/>
        <v>25165397.662656222</v>
      </c>
    </row>
    <row r="75" spans="1:6" x14ac:dyDescent="0.35">
      <c r="E75">
        <v>22130.5</v>
      </c>
      <c r="F75" s="105">
        <f t="shared" si="9"/>
        <v>11764985.750156229</v>
      </c>
    </row>
    <row r="76" spans="1:6" x14ac:dyDescent="0.35">
      <c r="E76">
        <v>18467.900000000001</v>
      </c>
      <c r="F76" s="105">
        <f t="shared" si="9"/>
        <v>50305152.07515619</v>
      </c>
    </row>
    <row r="77" spans="1:6" x14ac:dyDescent="0.35">
      <c r="E77">
        <v>19751</v>
      </c>
      <c r="F77" s="105">
        <f t="shared" si="9"/>
        <v>33750435.487656213</v>
      </c>
    </row>
    <row r="78" spans="1:6" x14ac:dyDescent="0.35">
      <c r="E78">
        <v>21788.6</v>
      </c>
      <c r="F78" s="105">
        <f t="shared" si="9"/>
        <v>14227323.907656239</v>
      </c>
    </row>
    <row r="79" spans="1:6" x14ac:dyDescent="0.35">
      <c r="E79">
        <v>23079.8</v>
      </c>
      <c r="F79" s="105">
        <f t="shared" si="9"/>
        <v>6153934.507656239</v>
      </c>
    </row>
    <row r="80" spans="1:6" x14ac:dyDescent="0.35">
      <c r="E80">
        <v>18885.099999999999</v>
      </c>
      <c r="F80" s="105">
        <f t="shared" si="9"/>
        <v>44561132.045156233</v>
      </c>
    </row>
    <row r="81" spans="5:6" x14ac:dyDescent="0.35">
      <c r="E81">
        <v>20452.2</v>
      </c>
      <c r="F81" s="105">
        <f t="shared" si="9"/>
        <v>26094856.597656213</v>
      </c>
    </row>
    <row r="82" spans="5:6" x14ac:dyDescent="0.35">
      <c r="E82">
        <v>22235.1</v>
      </c>
      <c r="F82" s="105">
        <f t="shared" si="9"/>
        <v>11058368.29515624</v>
      </c>
    </row>
    <row r="83" spans="5:6" x14ac:dyDescent="0.35">
      <c r="E83">
        <v>24043.599999999999</v>
      </c>
      <c r="F83" s="105">
        <f t="shared" si="9"/>
        <v>2301023.5326562454</v>
      </c>
    </row>
    <row r="84" spans="5:6" x14ac:dyDescent="0.35">
      <c r="E84">
        <v>20586.099999999999</v>
      </c>
      <c r="F84" s="105">
        <f t="shared" si="9"/>
        <v>24744779.720156234</v>
      </c>
    </row>
    <row r="85" spans="5:6" x14ac:dyDescent="0.35">
      <c r="E85">
        <v>21917.599999999999</v>
      </c>
      <c r="F85" s="105">
        <f t="shared" si="9"/>
        <v>13270811.482656239</v>
      </c>
    </row>
    <row r="86" spans="5:6" x14ac:dyDescent="0.35">
      <c r="E86">
        <v>23718.2</v>
      </c>
      <c r="F86" s="105">
        <f t="shared" si="9"/>
        <v>3394115.3476562365</v>
      </c>
    </row>
    <row r="87" spans="5:6" x14ac:dyDescent="0.35">
      <c r="E87">
        <v>25621.200000000001</v>
      </c>
      <c r="F87" s="105">
        <f t="shared" si="9"/>
        <v>3682.9726562504416</v>
      </c>
    </row>
    <row r="88" spans="5:6" x14ac:dyDescent="0.35">
      <c r="E88">
        <v>22474.5</v>
      </c>
      <c r="F88" s="105">
        <f t="shared" si="9"/>
        <v>9523473.1501562316</v>
      </c>
    </row>
    <row r="89" spans="5:6" x14ac:dyDescent="0.35">
      <c r="E89">
        <v>24969.8</v>
      </c>
      <c r="F89" s="105">
        <f t="shared" si="9"/>
        <v>348941.25765624741</v>
      </c>
    </row>
    <row r="90" spans="5:6" x14ac:dyDescent="0.35">
      <c r="E90">
        <v>27196.799999999999</v>
      </c>
      <c r="F90" s="105">
        <f t="shared" si="9"/>
        <v>2677436.782656257</v>
      </c>
    </row>
    <row r="91" spans="5:6" x14ac:dyDescent="0.35">
      <c r="E91">
        <v>29220.6</v>
      </c>
      <c r="F91" s="105">
        <f t="shared" si="9"/>
        <v>13396240.507656261</v>
      </c>
    </row>
    <row r="92" spans="5:6" x14ac:dyDescent="0.35">
      <c r="E92">
        <v>24608.6</v>
      </c>
      <c r="F92" s="105">
        <f t="shared" si="9"/>
        <v>906137.40765624726</v>
      </c>
    </row>
    <row r="93" spans="5:6" x14ac:dyDescent="0.35">
      <c r="E93">
        <v>26628.6</v>
      </c>
      <c r="F93" s="105">
        <f t="shared" si="9"/>
        <v>1140810.9076562531</v>
      </c>
    </row>
    <row r="94" spans="5:6" x14ac:dyDescent="0.35">
      <c r="E94">
        <v>28346</v>
      </c>
      <c r="F94" s="105">
        <f t="shared" si="9"/>
        <v>7758940.6126562664</v>
      </c>
    </row>
    <row r="95" spans="5:6" x14ac:dyDescent="0.35">
      <c r="E95">
        <v>30025.1</v>
      </c>
      <c r="F95" s="105">
        <f t="shared" si="9"/>
        <v>19932541.545156263</v>
      </c>
    </row>
    <row r="96" spans="5:6" x14ac:dyDescent="0.35">
      <c r="E96">
        <v>24866</v>
      </c>
      <c r="F96" s="105">
        <f t="shared" si="9"/>
        <v>482347.61265624594</v>
      </c>
    </row>
    <row r="97" spans="5:6" x14ac:dyDescent="0.35">
      <c r="E97">
        <v>23775.4</v>
      </c>
      <c r="F97" s="105">
        <f t="shared" si="9"/>
        <v>3186626.6376562342</v>
      </c>
    </row>
    <row r="98" spans="5:6" x14ac:dyDescent="0.35">
      <c r="E98">
        <v>27786.3</v>
      </c>
      <c r="F98" s="105">
        <f t="shared" si="9"/>
        <v>4954129.9951562593</v>
      </c>
    </row>
    <row r="99" spans="5:6" x14ac:dyDescent="0.35">
      <c r="E99">
        <v>31230.5</v>
      </c>
      <c r="F99" s="105">
        <f t="shared" si="9"/>
        <v>32148758.250156283</v>
      </c>
    </row>
    <row r="100" spans="5:6" x14ac:dyDescent="0.35">
      <c r="E100">
        <v>27939.8</v>
      </c>
      <c r="F100" s="105">
        <f t="shared" si="9"/>
        <v>5661009.0076562604</v>
      </c>
    </row>
    <row r="101" spans="5:6" x14ac:dyDescent="0.35">
      <c r="E101">
        <v>31885.1</v>
      </c>
      <c r="F101" s="105">
        <f t="shared" si="9"/>
        <v>40000407.04515627</v>
      </c>
    </row>
    <row r="102" spans="5:6" x14ac:dyDescent="0.35">
      <c r="E102">
        <v>35358.5</v>
      </c>
      <c r="F102" s="105">
        <f t="shared" si="9"/>
        <v>96000559.05015631</v>
      </c>
    </row>
    <row r="103" spans="5:6" x14ac:dyDescent="0.35">
      <c r="E103">
        <v>40111.5</v>
      </c>
      <c r="F103" s="105">
        <f t="shared" si="9"/>
        <v>211731237.22515634</v>
      </c>
    </row>
    <row r="104" spans="5:6" x14ac:dyDescent="0.35">
      <c r="E104">
        <v>36398.5</v>
      </c>
      <c r="F104" s="105">
        <f t="shared" si="9"/>
        <v>117461973.05015631</v>
      </c>
    </row>
    <row r="105" spans="5:6" x14ac:dyDescent="0.35">
      <c r="E105">
        <v>36540.199999999997</v>
      </c>
      <c r="F105" s="105">
        <f t="shared" si="9"/>
        <v>120553537.59765625</v>
      </c>
    </row>
    <row r="106" spans="5:6" x14ac:dyDescent="0.35">
      <c r="E106">
        <v>38245.1</v>
      </c>
      <c r="F106" s="105">
        <f t="shared" si="9"/>
        <v>160898760.0451563</v>
      </c>
    </row>
    <row r="107" spans="5:6" x14ac:dyDescent="0.35">
      <c r="E107">
        <v>42251.4</v>
      </c>
      <c r="F107" s="105">
        <f t="shared" si="9"/>
        <v>278585725.53765637</v>
      </c>
    </row>
  </sheetData>
  <mergeCells count="3">
    <mergeCell ref="A45:A46"/>
    <mergeCell ref="B45:B46"/>
    <mergeCell ref="C45:F45"/>
  </mergeCells>
  <hyperlinks>
    <hyperlink ref="N1" r:id="rId1" xr:uid="{73F2065A-C98F-4B8C-8D11-F1E5C8A84A6F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5E381-271C-4A3A-A01F-20791B847B24}">
  <dimension ref="A1:H48"/>
  <sheetViews>
    <sheetView topLeftCell="A7" workbookViewId="0">
      <selection activeCell="B47" sqref="B47"/>
    </sheetView>
  </sheetViews>
  <sheetFormatPr defaultRowHeight="14.5" x14ac:dyDescent="0.35"/>
  <cols>
    <col min="1" max="1" width="19.90625" customWidth="1"/>
    <col min="2" max="2" width="8.90625" bestFit="1" customWidth="1"/>
    <col min="6" max="6" width="9.26953125" customWidth="1"/>
  </cols>
  <sheetData>
    <row r="1" spans="1:4" x14ac:dyDescent="0.35">
      <c r="A1" t="s">
        <v>798</v>
      </c>
    </row>
    <row r="2" spans="1:4" x14ac:dyDescent="0.35">
      <c r="A2" t="s">
        <v>799</v>
      </c>
    </row>
    <row r="3" spans="1:4" x14ac:dyDescent="0.35">
      <c r="A3" t="s">
        <v>800</v>
      </c>
    </row>
    <row r="5" spans="1:4" x14ac:dyDescent="0.35">
      <c r="A5" s="80" t="s">
        <v>801</v>
      </c>
      <c r="B5" s="80">
        <v>10</v>
      </c>
      <c r="C5" t="s">
        <v>802</v>
      </c>
    </row>
    <row r="6" spans="1:4" x14ac:dyDescent="0.35">
      <c r="A6" s="80" t="s">
        <v>803</v>
      </c>
      <c r="B6" s="81">
        <v>2</v>
      </c>
      <c r="C6" t="s">
        <v>804</v>
      </c>
    </row>
    <row r="7" spans="1:4" x14ac:dyDescent="0.35">
      <c r="A7" s="80" t="s">
        <v>78</v>
      </c>
      <c r="B7" s="80">
        <v>3</v>
      </c>
      <c r="C7" t="s">
        <v>805</v>
      </c>
    </row>
    <row r="8" spans="1:4" x14ac:dyDescent="0.35">
      <c r="A8" s="80" t="s">
        <v>76</v>
      </c>
      <c r="B8" s="80">
        <v>5</v>
      </c>
      <c r="C8" t="s">
        <v>806</v>
      </c>
    </row>
    <row r="9" spans="1:4" x14ac:dyDescent="0.35">
      <c r="A9" s="80" t="s">
        <v>807</v>
      </c>
      <c r="B9" s="80">
        <f>B5/B6</f>
        <v>5</v>
      </c>
      <c r="C9" t="s">
        <v>808</v>
      </c>
    </row>
    <row r="12" spans="1:4" x14ac:dyDescent="0.35">
      <c r="A12" s="75" t="s">
        <v>318</v>
      </c>
      <c r="B12" s="75" t="s">
        <v>809</v>
      </c>
      <c r="C12" s="75" t="s">
        <v>810</v>
      </c>
      <c r="D12" s="75" t="s">
        <v>811</v>
      </c>
    </row>
    <row r="13" spans="1:4" x14ac:dyDescent="0.35">
      <c r="A13" s="75">
        <v>0</v>
      </c>
      <c r="B13" s="75">
        <f>$B$9^A13</f>
        <v>1</v>
      </c>
      <c r="C13" s="75">
        <f>FACT(A13)</f>
        <v>1</v>
      </c>
      <c r="D13" s="75">
        <f>B13/C13</f>
        <v>1</v>
      </c>
    </row>
    <row r="14" spans="1:4" x14ac:dyDescent="0.35">
      <c r="A14" s="75">
        <v>1</v>
      </c>
      <c r="B14" s="75">
        <f>$B$9^A14</f>
        <v>5</v>
      </c>
      <c r="C14" s="75">
        <f t="shared" ref="C14:C16" si="0">FACT(A14)</f>
        <v>1</v>
      </c>
      <c r="D14" s="75">
        <f t="shared" ref="D14:D16" si="1">B14/C14</f>
        <v>5</v>
      </c>
    </row>
    <row r="15" spans="1:4" x14ac:dyDescent="0.35">
      <c r="A15" s="75">
        <v>2</v>
      </c>
      <c r="B15" s="75">
        <f t="shared" ref="B15" si="2">$B$9^A15</f>
        <v>25</v>
      </c>
      <c r="C15" s="75">
        <f t="shared" si="0"/>
        <v>2</v>
      </c>
      <c r="D15" s="75">
        <f t="shared" si="1"/>
        <v>12.5</v>
      </c>
    </row>
    <row r="16" spans="1:4" x14ac:dyDescent="0.35">
      <c r="A16" s="75">
        <v>3</v>
      </c>
      <c r="B16" s="75">
        <f>$B$9^A16</f>
        <v>125</v>
      </c>
      <c r="C16" s="75">
        <f t="shared" si="0"/>
        <v>6</v>
      </c>
      <c r="D16" s="76">
        <f t="shared" si="1"/>
        <v>20.833333333333332</v>
      </c>
    </row>
    <row r="17" spans="1:8" x14ac:dyDescent="0.35">
      <c r="A17" s="74"/>
      <c r="B17" s="74"/>
      <c r="C17" s="75" t="s">
        <v>263</v>
      </c>
      <c r="D17" s="78">
        <f>SUM(D13:D16)</f>
        <v>39.333333333333329</v>
      </c>
    </row>
    <row r="19" spans="1:8" x14ac:dyDescent="0.35">
      <c r="A19" s="80" t="s">
        <v>812</v>
      </c>
      <c r="B19" s="80">
        <f>B9^(B7+1)</f>
        <v>625</v>
      </c>
    </row>
    <row r="20" spans="1:8" x14ac:dyDescent="0.35">
      <c r="A20" s="80" t="s">
        <v>813</v>
      </c>
      <c r="B20" s="80">
        <f>B7*FACT(B7)</f>
        <v>18</v>
      </c>
    </row>
    <row r="21" spans="1:8" x14ac:dyDescent="0.35">
      <c r="A21" s="80" t="s">
        <v>814</v>
      </c>
      <c r="B21" s="82">
        <f>B19/B20</f>
        <v>34.722222222222221</v>
      </c>
    </row>
    <row r="23" spans="1:8" x14ac:dyDescent="0.35">
      <c r="A23" s="80" t="s">
        <v>815</v>
      </c>
      <c r="B23" s="83">
        <f>B9/B7</f>
        <v>1.6666666666666667</v>
      </c>
    </row>
    <row r="24" spans="1:8" x14ac:dyDescent="0.35">
      <c r="A24" s="80" t="s">
        <v>816</v>
      </c>
      <c r="B24" s="83">
        <f>1-(B23^B8)</f>
        <v>-11.860082304526752</v>
      </c>
    </row>
    <row r="25" spans="1:8" x14ac:dyDescent="0.35">
      <c r="A25" s="80" t="s">
        <v>817</v>
      </c>
      <c r="B25" s="83">
        <f>1-B23</f>
        <v>-0.66666666666666674</v>
      </c>
    </row>
    <row r="26" spans="1:8" x14ac:dyDescent="0.35">
      <c r="A26" s="80" t="s">
        <v>814</v>
      </c>
      <c r="B26" s="84">
        <f>B24/B25</f>
        <v>17.790123456790127</v>
      </c>
    </row>
    <row r="28" spans="1:8" x14ac:dyDescent="0.35">
      <c r="A28" s="80" t="s">
        <v>652</v>
      </c>
      <c r="B28" s="85">
        <f>(D17+(B21*B26))^(-1)</f>
        <v>1.5219635626473813E-3</v>
      </c>
      <c r="C28">
        <v>0</v>
      </c>
      <c r="F28" s="86">
        <f t="shared" ref="F28:F36" si="3">B28</f>
        <v>1.5219635626473813E-3</v>
      </c>
      <c r="G28" s="74" t="s">
        <v>818</v>
      </c>
      <c r="H28" t="s">
        <v>819</v>
      </c>
    </row>
    <row r="29" spans="1:8" x14ac:dyDescent="0.35">
      <c r="A29" s="80" t="s">
        <v>653</v>
      </c>
      <c r="B29" s="87">
        <f>($B$9^A14*$B$28)/C14</f>
        <v>7.6098178132369063E-3</v>
      </c>
      <c r="C29">
        <v>1</v>
      </c>
      <c r="F29" s="86">
        <f t="shared" si="3"/>
        <v>7.6098178132369063E-3</v>
      </c>
      <c r="G29" s="74" t="s">
        <v>818</v>
      </c>
      <c r="H29" t="s">
        <v>820</v>
      </c>
    </row>
    <row r="30" spans="1:8" x14ac:dyDescent="0.35">
      <c r="A30" s="80" t="s">
        <v>821</v>
      </c>
      <c r="B30" s="87">
        <f t="shared" ref="B30" si="4">($B$9^A15*$B$28)/C15</f>
        <v>1.9024544533092266E-2</v>
      </c>
      <c r="C30">
        <v>2</v>
      </c>
      <c r="F30" s="86">
        <f t="shared" si="3"/>
        <v>1.9024544533092266E-2</v>
      </c>
      <c r="G30" s="74" t="s">
        <v>818</v>
      </c>
      <c r="H30" t="s">
        <v>822</v>
      </c>
    </row>
    <row r="31" spans="1:8" x14ac:dyDescent="0.35">
      <c r="A31" s="80" t="s">
        <v>823</v>
      </c>
      <c r="B31" s="87">
        <f>($B$9^A16*$B$28)/C16</f>
        <v>3.1707574221820446E-2</v>
      </c>
      <c r="C31">
        <v>3</v>
      </c>
      <c r="D31" s="74" t="s">
        <v>76</v>
      </c>
      <c r="F31" s="86">
        <f t="shared" si="3"/>
        <v>3.1707574221820446E-2</v>
      </c>
      <c r="G31" s="74" t="s">
        <v>818</v>
      </c>
      <c r="H31" t="s">
        <v>824</v>
      </c>
    </row>
    <row r="32" spans="1:8" x14ac:dyDescent="0.35">
      <c r="A32" s="80" t="s">
        <v>825</v>
      </c>
      <c r="B32" s="88">
        <f>($B$9^($B$7+D32)*$B$28)/($B$7^D32*FACT($B$7))</f>
        <v>5.2845957036367401E-2</v>
      </c>
      <c r="C32">
        <v>4</v>
      </c>
      <c r="D32" s="74">
        <v>1</v>
      </c>
      <c r="F32" s="86">
        <f t="shared" si="3"/>
        <v>5.2845957036367401E-2</v>
      </c>
      <c r="G32" s="74" t="s">
        <v>818</v>
      </c>
      <c r="H32" t="s">
        <v>826</v>
      </c>
    </row>
    <row r="33" spans="1:8" x14ac:dyDescent="0.35">
      <c r="A33" s="80" t="s">
        <v>827</v>
      </c>
      <c r="B33" s="88">
        <f>($B$9^($B$7+D33)*$B$28)/($B$7^D33*FACT($B$7))</f>
        <v>8.8076595060612328E-2</v>
      </c>
      <c r="C33">
        <v>5</v>
      </c>
      <c r="D33" s="74">
        <v>2</v>
      </c>
      <c r="F33" s="86">
        <f t="shared" si="3"/>
        <v>8.8076595060612328E-2</v>
      </c>
      <c r="G33" s="74" t="s">
        <v>818</v>
      </c>
      <c r="H33" t="s">
        <v>828</v>
      </c>
    </row>
    <row r="34" spans="1:8" x14ac:dyDescent="0.35">
      <c r="A34" s="80" t="s">
        <v>829</v>
      </c>
      <c r="B34" s="88">
        <f>($B$9^($B$7+D34)*$B$28)/($B$7^D34*FACT($B$7))</f>
        <v>0.14679432510102056</v>
      </c>
      <c r="C34">
        <v>6</v>
      </c>
      <c r="D34" s="74">
        <v>3</v>
      </c>
      <c r="F34" s="86">
        <f t="shared" si="3"/>
        <v>0.14679432510102056</v>
      </c>
      <c r="G34" s="74" t="s">
        <v>818</v>
      </c>
      <c r="H34" t="s">
        <v>830</v>
      </c>
    </row>
    <row r="35" spans="1:8" x14ac:dyDescent="0.35">
      <c r="A35" s="80" t="s">
        <v>831</v>
      </c>
      <c r="B35" s="88">
        <f>($B$9^($B$7+D35)*$B$28)/($B$7^D35*FACT($B$7))</f>
        <v>0.24465720850170097</v>
      </c>
      <c r="C35">
        <v>7</v>
      </c>
      <c r="D35" s="74">
        <v>4</v>
      </c>
      <c r="F35" s="86">
        <f t="shared" si="3"/>
        <v>0.24465720850170097</v>
      </c>
      <c r="G35" s="74" t="s">
        <v>818</v>
      </c>
      <c r="H35" t="s">
        <v>832</v>
      </c>
    </row>
    <row r="36" spans="1:8" x14ac:dyDescent="0.35">
      <c r="A36" s="80" t="s">
        <v>833</v>
      </c>
      <c r="B36" s="88">
        <f>($B$9^($B$7+D36)*$B$28)/($B$7^D36*FACT($B$7))</f>
        <v>0.40776201416950159</v>
      </c>
      <c r="C36">
        <v>8</v>
      </c>
      <c r="D36" s="74">
        <v>5</v>
      </c>
      <c r="F36" s="86">
        <f t="shared" si="3"/>
        <v>0.40776201416950159</v>
      </c>
      <c r="G36" s="74" t="s">
        <v>818</v>
      </c>
      <c r="H36" t="s">
        <v>834</v>
      </c>
    </row>
    <row r="37" spans="1:8" x14ac:dyDescent="0.35">
      <c r="A37" s="80" t="s">
        <v>835</v>
      </c>
      <c r="B37" s="89">
        <f>SUM(B28:B36)</f>
        <v>0.99999999999999978</v>
      </c>
    </row>
    <row r="39" spans="1:8" x14ac:dyDescent="0.35">
      <c r="A39" s="80" t="s">
        <v>836</v>
      </c>
      <c r="B39" s="90">
        <f>B36</f>
        <v>0.40776201416950159</v>
      </c>
      <c r="F39" t="s">
        <v>837</v>
      </c>
    </row>
    <row r="40" spans="1:8" x14ac:dyDescent="0.35">
      <c r="A40" s="80" t="s">
        <v>838</v>
      </c>
      <c r="B40" s="90">
        <f>1-B39</f>
        <v>0.59223798583049847</v>
      </c>
      <c r="F40" t="s">
        <v>839</v>
      </c>
    </row>
    <row r="42" spans="1:8" ht="29" x14ac:dyDescent="0.35">
      <c r="A42" s="91" t="s">
        <v>840</v>
      </c>
      <c r="B42" s="80">
        <f>ROUND(SUMPRODUCT(B29:B31,C29:C31),0)</f>
        <v>0</v>
      </c>
      <c r="F42" t="s">
        <v>841</v>
      </c>
      <c r="G42" s="92">
        <f>SUM(B32:B36)</f>
        <v>0.94013609986920277</v>
      </c>
    </row>
    <row r="43" spans="1:8" ht="29" x14ac:dyDescent="0.35">
      <c r="A43" s="91" t="s">
        <v>842</v>
      </c>
      <c r="B43" s="80">
        <f>ROUND(SUMPRODUCT(B32:B36,D32:D36),0)</f>
        <v>4</v>
      </c>
    </row>
    <row r="44" spans="1:8" ht="29" x14ac:dyDescent="0.35">
      <c r="A44" s="91" t="s">
        <v>843</v>
      </c>
      <c r="B44" s="80">
        <f>B42+B43</f>
        <v>4</v>
      </c>
    </row>
    <row r="46" spans="1:8" ht="58" x14ac:dyDescent="0.35">
      <c r="A46" s="91" t="s">
        <v>844</v>
      </c>
      <c r="B46" s="83">
        <f>B42/$B$5</f>
        <v>0</v>
      </c>
      <c r="C46" t="s">
        <v>845</v>
      </c>
    </row>
    <row r="47" spans="1:8" ht="43.5" x14ac:dyDescent="0.35">
      <c r="A47" s="91" t="s">
        <v>846</v>
      </c>
      <c r="B47" s="83">
        <f>B43/$B$5</f>
        <v>0.4</v>
      </c>
      <c r="C47" t="s">
        <v>847</v>
      </c>
    </row>
    <row r="48" spans="1:8" ht="43.5" x14ac:dyDescent="0.35">
      <c r="A48" s="91" t="s">
        <v>848</v>
      </c>
      <c r="B48" s="83">
        <f t="shared" ref="B48" si="5">B44/$B$5</f>
        <v>0.4</v>
      </c>
      <c r="C48" t="s">
        <v>847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03E3-7811-4615-A768-71DAA9AE8CA9}">
  <dimension ref="A1:S158"/>
  <sheetViews>
    <sheetView topLeftCell="A76" workbookViewId="0">
      <selection activeCell="G166" sqref="G166"/>
    </sheetView>
  </sheetViews>
  <sheetFormatPr defaultRowHeight="14.5" x14ac:dyDescent="0.35"/>
  <cols>
    <col min="1" max="6" width="8.7265625" style="74"/>
    <col min="7" max="7" width="10.453125" style="74" bestFit="1" customWidth="1"/>
    <col min="8" max="16384" width="8.7265625" style="74"/>
  </cols>
  <sheetData>
    <row r="1" spans="1:7" x14ac:dyDescent="0.35">
      <c r="A1" s="73" t="s">
        <v>709</v>
      </c>
    </row>
    <row r="3" spans="1:7" x14ac:dyDescent="0.35">
      <c r="A3" s="75" t="s">
        <v>710</v>
      </c>
      <c r="B3" s="75" t="s">
        <v>711</v>
      </c>
      <c r="C3" s="75" t="s">
        <v>712</v>
      </c>
    </row>
    <row r="4" spans="1:7" x14ac:dyDescent="0.35">
      <c r="A4" s="75" t="s">
        <v>713</v>
      </c>
      <c r="B4" s="76">
        <v>7.0000000000000007E-2</v>
      </c>
      <c r="C4" s="76">
        <v>0.14000000000000001</v>
      </c>
      <c r="F4" s="73" t="s">
        <v>714</v>
      </c>
    </row>
    <row r="5" spans="1:7" x14ac:dyDescent="0.35">
      <c r="A5" s="75" t="s">
        <v>715</v>
      </c>
      <c r="B5" s="76">
        <v>7.4999999999999997E-2</v>
      </c>
      <c r="C5" s="76">
        <v>0.16</v>
      </c>
    </row>
    <row r="6" spans="1:7" x14ac:dyDescent="0.35">
      <c r="A6" s="75" t="s">
        <v>716</v>
      </c>
      <c r="B6" s="76">
        <v>0.1</v>
      </c>
      <c r="C6" s="76">
        <v>0.22</v>
      </c>
      <c r="D6" s="77"/>
      <c r="E6" s="77"/>
    </row>
    <row r="7" spans="1:7" x14ac:dyDescent="0.35">
      <c r="A7" s="75" t="s">
        <v>717</v>
      </c>
      <c r="B7" s="76">
        <v>0.05</v>
      </c>
      <c r="C7" s="76">
        <v>7.0000000000000007E-2</v>
      </c>
    </row>
    <row r="8" spans="1:7" x14ac:dyDescent="0.35">
      <c r="A8" s="75" t="s">
        <v>718</v>
      </c>
      <c r="B8" s="76">
        <v>0.12</v>
      </c>
      <c r="C8" s="76">
        <v>0.25</v>
      </c>
    </row>
    <row r="9" spans="1:7" x14ac:dyDescent="0.35">
      <c r="A9" s="75" t="s">
        <v>719</v>
      </c>
      <c r="B9" s="76">
        <v>0.06</v>
      </c>
      <c r="C9" s="76">
        <v>0.1</v>
      </c>
    </row>
    <row r="10" spans="1:7" x14ac:dyDescent="0.35">
      <c r="A10" s="75" t="s">
        <v>720</v>
      </c>
      <c r="B10" s="76">
        <v>0.2</v>
      </c>
      <c r="C10" s="76">
        <v>0.33</v>
      </c>
    </row>
    <row r="11" spans="1:7" x14ac:dyDescent="0.35">
      <c r="A11" s="75" t="s">
        <v>721</v>
      </c>
      <c r="B11" s="76">
        <v>0.15</v>
      </c>
      <c r="C11" s="76">
        <v>0.28999999999999998</v>
      </c>
    </row>
    <row r="12" spans="1:7" x14ac:dyDescent="0.35">
      <c r="A12" s="75" t="s">
        <v>722</v>
      </c>
      <c r="B12" s="76">
        <v>0.09</v>
      </c>
      <c r="C12" s="76">
        <v>0.2</v>
      </c>
    </row>
    <row r="13" spans="1:7" x14ac:dyDescent="0.35">
      <c r="A13" s="75" t="s">
        <v>723</v>
      </c>
      <c r="B13" s="76">
        <v>0.14000000000000001</v>
      </c>
      <c r="C13" s="76">
        <v>0.27</v>
      </c>
    </row>
    <row r="14" spans="1:7" x14ac:dyDescent="0.35">
      <c r="F14" s="75" t="s">
        <v>78</v>
      </c>
      <c r="G14" s="75">
        <f>COUNT(B4:B13)</f>
        <v>10</v>
      </c>
    </row>
    <row r="15" spans="1:7" x14ac:dyDescent="0.35">
      <c r="F15" s="75" t="s">
        <v>724</v>
      </c>
      <c r="G15" s="78">
        <f>2*SUM(F24:O33)/G14^2</f>
        <v>0.37864162954098746</v>
      </c>
    </row>
    <row r="19" spans="1:19" x14ac:dyDescent="0.35">
      <c r="A19" s="73" t="s">
        <v>725</v>
      </c>
    </row>
    <row r="20" spans="1:19" x14ac:dyDescent="0.35">
      <c r="A20" s="79" t="s">
        <v>726</v>
      </c>
      <c r="B20" s="76">
        <f>MAX(B4:B13)</f>
        <v>0.2</v>
      </c>
    </row>
    <row r="21" spans="1:19" x14ac:dyDescent="0.35">
      <c r="A21" s="79" t="s">
        <v>727</v>
      </c>
      <c r="B21" s="76">
        <f>MAX(C4:C13)</f>
        <v>0.33</v>
      </c>
    </row>
    <row r="22" spans="1:19" x14ac:dyDescent="0.35">
      <c r="E22" s="73" t="s">
        <v>728</v>
      </c>
    </row>
    <row r="23" spans="1:19" x14ac:dyDescent="0.35">
      <c r="A23" s="75" t="s">
        <v>710</v>
      </c>
      <c r="B23" s="75" t="s">
        <v>729</v>
      </c>
      <c r="C23" s="75" t="s">
        <v>730</v>
      </c>
      <c r="E23" s="75"/>
      <c r="F23" s="75" t="s">
        <v>713</v>
      </c>
      <c r="G23" s="75" t="s">
        <v>715</v>
      </c>
      <c r="H23" s="75" t="s">
        <v>716</v>
      </c>
      <c r="I23" s="75" t="s">
        <v>717</v>
      </c>
      <c r="J23" s="75" t="s">
        <v>718</v>
      </c>
      <c r="K23" s="75" t="s">
        <v>719</v>
      </c>
      <c r="L23" s="75" t="s">
        <v>720</v>
      </c>
      <c r="M23" s="75" t="s">
        <v>721</v>
      </c>
      <c r="N23" s="75" t="s">
        <v>722</v>
      </c>
      <c r="O23" s="75" t="s">
        <v>723</v>
      </c>
    </row>
    <row r="24" spans="1:19" x14ac:dyDescent="0.35">
      <c r="A24" s="75" t="s">
        <v>713</v>
      </c>
      <c r="B24" s="76">
        <f>B4/$B$20</f>
        <v>0.35000000000000003</v>
      </c>
      <c r="C24" s="76">
        <f>C4/$B$21</f>
        <v>0.42424242424242425</v>
      </c>
      <c r="E24" s="75" t="s">
        <v>713</v>
      </c>
      <c r="F24" s="76">
        <v>0</v>
      </c>
      <c r="G24" s="76"/>
      <c r="H24" s="76"/>
      <c r="I24" s="76"/>
      <c r="J24" s="76"/>
      <c r="K24" s="76"/>
      <c r="L24" s="76"/>
      <c r="M24" s="76"/>
      <c r="N24" s="76"/>
      <c r="O24" s="76"/>
    </row>
    <row r="25" spans="1:19" x14ac:dyDescent="0.35">
      <c r="A25" s="75" t="s">
        <v>715</v>
      </c>
      <c r="B25" s="76">
        <f t="shared" ref="B25:B33" si="0">B5/$B$20</f>
        <v>0.37499999999999994</v>
      </c>
      <c r="C25" s="76">
        <f t="shared" ref="C25:C33" si="1">C5/$B$21</f>
        <v>0.48484848484848486</v>
      </c>
      <c r="E25" s="75" t="s">
        <v>715</v>
      </c>
      <c r="F25" s="78">
        <f t="shared" ref="F25:F33" si="2">SQRT(((B25-$B$24)^2)+((C25-$C$24)^2))</f>
        <v>6.555985495854523E-2</v>
      </c>
      <c r="G25" s="76">
        <v>0</v>
      </c>
      <c r="H25" s="76"/>
      <c r="I25" s="76"/>
      <c r="J25" s="76"/>
      <c r="K25" s="76"/>
      <c r="L25" s="76"/>
      <c r="M25" s="76"/>
      <c r="N25" s="76"/>
      <c r="O25" s="76"/>
    </row>
    <row r="26" spans="1:19" x14ac:dyDescent="0.35">
      <c r="A26" s="75" t="s">
        <v>716</v>
      </c>
      <c r="B26" s="76">
        <f t="shared" si="0"/>
        <v>0.5</v>
      </c>
      <c r="C26" s="76">
        <f t="shared" si="1"/>
        <v>0.66666666666666663</v>
      </c>
      <c r="E26" s="75" t="s">
        <v>716</v>
      </c>
      <c r="F26" s="76">
        <f t="shared" si="2"/>
        <v>0.28507808283866337</v>
      </c>
      <c r="G26" s="76">
        <f t="shared" ref="G26:G33" si="3">SQRT(((B26-$B$25)^2)+((C26-$C$25)^2))</f>
        <v>0.22064190726076816</v>
      </c>
      <c r="H26" s="76">
        <v>0</v>
      </c>
      <c r="I26" s="76"/>
      <c r="J26" s="76"/>
      <c r="K26" s="76"/>
      <c r="L26" s="76"/>
      <c r="M26" s="76"/>
      <c r="N26" s="76"/>
      <c r="O26" s="76"/>
    </row>
    <row r="27" spans="1:19" x14ac:dyDescent="0.35">
      <c r="A27" s="75" t="s">
        <v>717</v>
      </c>
      <c r="B27" s="76">
        <f t="shared" si="0"/>
        <v>0.25</v>
      </c>
      <c r="C27" s="76">
        <f t="shared" si="1"/>
        <v>0.21212121212121213</v>
      </c>
      <c r="E27" s="75" t="s">
        <v>717</v>
      </c>
      <c r="F27" s="76">
        <f t="shared" si="2"/>
        <v>0.23451099895691946</v>
      </c>
      <c r="G27" s="76">
        <f t="shared" si="3"/>
        <v>0.30000860869191098</v>
      </c>
      <c r="H27" s="76">
        <f t="shared" ref="H27:H33" si="4">SQRT(((B27-$B$26)^2)+((C27-$C$26)^2))</f>
        <v>0.51875964593242385</v>
      </c>
      <c r="I27" s="76">
        <v>0</v>
      </c>
      <c r="J27" s="76"/>
      <c r="K27" s="76"/>
      <c r="L27" s="76"/>
      <c r="M27" s="76"/>
      <c r="N27" s="76"/>
      <c r="O27" s="76"/>
      <c r="S27" s="77"/>
    </row>
    <row r="28" spans="1:19" x14ac:dyDescent="0.35">
      <c r="A28" s="75" t="s">
        <v>718</v>
      </c>
      <c r="B28" s="76">
        <f t="shared" si="0"/>
        <v>0.6</v>
      </c>
      <c r="C28" s="76">
        <f t="shared" si="1"/>
        <v>0.75757575757575757</v>
      </c>
      <c r="E28" s="75" t="s">
        <v>718</v>
      </c>
      <c r="F28" s="76">
        <f t="shared" si="2"/>
        <v>0.41666666666666663</v>
      </c>
      <c r="G28" s="76">
        <f t="shared" si="3"/>
        <v>0.35356069533993201</v>
      </c>
      <c r="H28" s="76">
        <f t="shared" si="4"/>
        <v>0.13514607952107732</v>
      </c>
      <c r="I28" s="76">
        <f t="shared" ref="I28:I33" si="5">SQRT(((B28-$B$27)^2)+((C28-$C$27)^2))</f>
        <v>0.64809001007346556</v>
      </c>
      <c r="J28" s="76">
        <v>0</v>
      </c>
      <c r="K28" s="76"/>
      <c r="L28" s="76"/>
      <c r="M28" s="76"/>
      <c r="N28" s="76"/>
      <c r="O28" s="76"/>
    </row>
    <row r="29" spans="1:19" x14ac:dyDescent="0.35">
      <c r="A29" s="75" t="s">
        <v>719</v>
      </c>
      <c r="B29" s="76">
        <f t="shared" si="0"/>
        <v>0.3</v>
      </c>
      <c r="C29" s="76">
        <f t="shared" si="1"/>
        <v>0.30303030303030304</v>
      </c>
      <c r="E29" s="75" t="s">
        <v>719</v>
      </c>
      <c r="F29" s="76">
        <f t="shared" si="2"/>
        <v>0.13111970991709054</v>
      </c>
      <c r="G29" s="76">
        <f t="shared" si="3"/>
        <v>0.19667956487563576</v>
      </c>
      <c r="H29" s="76">
        <f t="shared" si="4"/>
        <v>0.41500771674593917</v>
      </c>
      <c r="I29" s="76">
        <f t="shared" si="5"/>
        <v>0.10375192918648479</v>
      </c>
      <c r="J29" s="76">
        <f>SQRT(((B29-$B$28)^2)+((C29-$C$28)^2))</f>
        <v>0.54462057457273305</v>
      </c>
      <c r="K29" s="76">
        <v>0</v>
      </c>
      <c r="L29" s="76"/>
      <c r="M29" s="76"/>
      <c r="N29" s="76"/>
      <c r="O29" s="76"/>
    </row>
    <row r="30" spans="1:19" x14ac:dyDescent="0.35">
      <c r="A30" s="75" t="s">
        <v>720</v>
      </c>
      <c r="B30" s="76">
        <f t="shared" si="0"/>
        <v>1</v>
      </c>
      <c r="C30" s="76">
        <f t="shared" si="1"/>
        <v>1</v>
      </c>
      <c r="E30" s="75" t="s">
        <v>720</v>
      </c>
      <c r="F30" s="76">
        <f t="shared" si="2"/>
        <v>0.86832988319085302</v>
      </c>
      <c r="G30" s="76">
        <f t="shared" si="3"/>
        <v>0.80994202481591349</v>
      </c>
      <c r="H30" s="76">
        <f t="shared" si="4"/>
        <v>0.60092521257733156</v>
      </c>
      <c r="I30" s="76">
        <f t="shared" si="5"/>
        <v>1.0877743260388839</v>
      </c>
      <c r="J30" s="76">
        <f>SQRT(((B30-$B$28)^2)+((C30-$C$28)^2))</f>
        <v>0.46772803349272096</v>
      </c>
      <c r="K30" s="76">
        <f>SQRT(((B30-$B$29)^2)+((C30-$C$29)^2))</f>
        <v>0.98780906985815398</v>
      </c>
      <c r="L30" s="76">
        <v>0</v>
      </c>
      <c r="M30" s="76"/>
      <c r="N30" s="76"/>
      <c r="O30" s="76"/>
    </row>
    <row r="31" spans="1:19" x14ac:dyDescent="0.35">
      <c r="A31" s="75" t="s">
        <v>721</v>
      </c>
      <c r="B31" s="76">
        <f t="shared" si="0"/>
        <v>0.74999999999999989</v>
      </c>
      <c r="C31" s="76">
        <f t="shared" si="1"/>
        <v>0.87878787878787867</v>
      </c>
      <c r="E31" s="75" t="s">
        <v>721</v>
      </c>
      <c r="F31" s="76">
        <f t="shared" si="2"/>
        <v>0.60548457473988027</v>
      </c>
      <c r="G31" s="76">
        <f t="shared" si="3"/>
        <v>0.54388716301944173</v>
      </c>
      <c r="H31" s="76">
        <f t="shared" si="4"/>
        <v>0.32786492436943021</v>
      </c>
      <c r="I31" s="76">
        <f t="shared" si="5"/>
        <v>0.83333333333333315</v>
      </c>
      <c r="J31" s="76">
        <f>SQRT(((B31-$B$28)^2)+((C31-$C$28)^2))</f>
        <v>0.19285325594539987</v>
      </c>
      <c r="K31" s="76">
        <f>SQRT(((B31-$B$29)^2)+((C31-$C$29)^2))</f>
        <v>0.73075083718203182</v>
      </c>
      <c r="L31" s="76">
        <f>SQRT(((B31-$B$30)^2)+((C31-$C$30)^2))</f>
        <v>0.27783516395291302</v>
      </c>
      <c r="M31" s="76">
        <v>0</v>
      </c>
      <c r="N31" s="76"/>
      <c r="O31" s="76"/>
    </row>
    <row r="32" spans="1:19" x14ac:dyDescent="0.35">
      <c r="A32" s="75" t="s">
        <v>722</v>
      </c>
      <c r="B32" s="76">
        <f t="shared" si="0"/>
        <v>0.44999999999999996</v>
      </c>
      <c r="C32" s="76">
        <f t="shared" si="1"/>
        <v>0.60606060606060608</v>
      </c>
      <c r="E32" s="75" t="s">
        <v>722</v>
      </c>
      <c r="F32" s="76">
        <f t="shared" si="2"/>
        <v>0.20750385837296956</v>
      </c>
      <c r="G32" s="76">
        <f t="shared" si="3"/>
        <v>0.14253904141933174</v>
      </c>
      <c r="H32" s="76">
        <f t="shared" si="4"/>
        <v>7.8569043408873759E-2</v>
      </c>
      <c r="I32" s="76">
        <f t="shared" si="5"/>
        <v>0.44180113863291137</v>
      </c>
      <c r="J32" s="76">
        <f>SQRT(((B32-$B$28)^2)+((C32-$C$28)^2))</f>
        <v>0.21320610014410779</v>
      </c>
      <c r="K32" s="76">
        <f>SQRT(((B32-$B$29)^2)+((C32-$C$29)^2))</f>
        <v>0.33812329785839557</v>
      </c>
      <c r="L32" s="76">
        <f>SQRT(((B32-$B$30)^2)+((C32-$C$30)^2))</f>
        <v>0.67652660413123222</v>
      </c>
      <c r="M32" s="76">
        <f>SQRT(((B32-$B$31)^2)+((C32-$C$31)^2))</f>
        <v>0.40543823856323186</v>
      </c>
      <c r="N32" s="76">
        <v>0</v>
      </c>
      <c r="O32" s="76"/>
      <c r="S32" s="77"/>
    </row>
    <row r="33" spans="1:19" x14ac:dyDescent="0.35">
      <c r="A33" s="75" t="s">
        <v>723</v>
      </c>
      <c r="B33" s="76">
        <f t="shared" si="0"/>
        <v>0.70000000000000007</v>
      </c>
      <c r="C33" s="76">
        <f t="shared" si="1"/>
        <v>0.81818181818181823</v>
      </c>
      <c r="E33" s="75" t="s">
        <v>723</v>
      </c>
      <c r="F33" s="76">
        <f t="shared" si="2"/>
        <v>0.52696133263963219</v>
      </c>
      <c r="G33" s="76">
        <f t="shared" si="3"/>
        <v>0.46554925744878084</v>
      </c>
      <c r="H33" s="76">
        <f t="shared" si="4"/>
        <v>0.25091201872102376</v>
      </c>
      <c r="I33" s="76">
        <f t="shared" si="5"/>
        <v>0.75485724360209272</v>
      </c>
      <c r="J33" s="76">
        <f>SQRT(((B33-$B$28)^2)+((C33-$C$28)^2))</f>
        <v>0.11693200837318034</v>
      </c>
      <c r="K33" s="76">
        <f>SQRT(((B33-$B$29)^2)+((C33-$C$29)^2))</f>
        <v>0.65221245278122508</v>
      </c>
      <c r="L33" s="76">
        <f>SQRT(((B33-$B$30)^2)+((C33-$C$30)^2))</f>
        <v>0.35079602511954061</v>
      </c>
      <c r="M33" s="76">
        <f>SQRT(((B33-$B$31)^2)+((C33-$C$31)^2))</f>
        <v>7.8569043408873523E-2</v>
      </c>
      <c r="N33" s="76">
        <f>SQRT(((B33-B32)^2)+((C33-$C$32)^2))</f>
        <v>0.32786492436943043</v>
      </c>
      <c r="O33" s="76">
        <v>0</v>
      </c>
    </row>
    <row r="35" spans="1:19" x14ac:dyDescent="0.35">
      <c r="F35" s="77"/>
    </row>
    <row r="36" spans="1:19" x14ac:dyDescent="0.35">
      <c r="E36" s="75" t="s">
        <v>731</v>
      </c>
      <c r="F36" s="76">
        <f>F25</f>
        <v>6.555985495854523E-2</v>
      </c>
      <c r="G36" s="74" t="s">
        <v>732</v>
      </c>
      <c r="R36" s="77"/>
      <c r="S36" s="77"/>
    </row>
    <row r="37" spans="1:19" x14ac:dyDescent="0.35">
      <c r="E37" s="73" t="s">
        <v>733</v>
      </c>
    </row>
    <row r="38" spans="1:19" x14ac:dyDescent="0.35">
      <c r="E38" s="73" t="s">
        <v>734</v>
      </c>
    </row>
    <row r="39" spans="1:19" x14ac:dyDescent="0.35">
      <c r="E39" s="73" t="s">
        <v>735</v>
      </c>
    </row>
    <row r="40" spans="1:19" x14ac:dyDescent="0.35">
      <c r="E40" s="75" t="s">
        <v>736</v>
      </c>
      <c r="F40" s="76">
        <f>AVERAGE(B24,B25)</f>
        <v>0.36249999999999999</v>
      </c>
    </row>
    <row r="41" spans="1:19" x14ac:dyDescent="0.35">
      <c r="E41" s="75" t="s">
        <v>737</v>
      </c>
      <c r="F41" s="76">
        <f>AVERAGE(C24,C25)</f>
        <v>0.45454545454545459</v>
      </c>
    </row>
    <row r="44" spans="1:19" x14ac:dyDescent="0.35">
      <c r="E44" s="73" t="s">
        <v>738</v>
      </c>
    </row>
    <row r="45" spans="1:19" x14ac:dyDescent="0.35">
      <c r="A45" s="75" t="s">
        <v>710</v>
      </c>
      <c r="B45" s="75" t="s">
        <v>729</v>
      </c>
      <c r="C45" s="75" t="s">
        <v>730</v>
      </c>
      <c r="E45" s="75"/>
      <c r="F45" s="75" t="s">
        <v>739</v>
      </c>
      <c r="G45" s="75" t="s">
        <v>716</v>
      </c>
      <c r="H45" s="75" t="s">
        <v>717</v>
      </c>
      <c r="I45" s="75" t="s">
        <v>718</v>
      </c>
      <c r="J45" s="75" t="s">
        <v>719</v>
      </c>
      <c r="K45" s="75" t="s">
        <v>720</v>
      </c>
      <c r="L45" s="75" t="s">
        <v>721</v>
      </c>
      <c r="M45" s="75" t="s">
        <v>722</v>
      </c>
      <c r="N45" s="75" t="s">
        <v>723</v>
      </c>
    </row>
    <row r="46" spans="1:19" x14ac:dyDescent="0.35">
      <c r="A46" s="75" t="s">
        <v>740</v>
      </c>
      <c r="B46" s="75">
        <v>0.36</v>
      </c>
      <c r="C46" s="75">
        <v>0.45</v>
      </c>
      <c r="E46" s="75" t="s">
        <v>739</v>
      </c>
      <c r="F46" s="76">
        <v>0</v>
      </c>
      <c r="G46" s="76"/>
      <c r="H46" s="76"/>
      <c r="I46" s="76"/>
      <c r="J46" s="76"/>
      <c r="K46" s="76"/>
      <c r="L46" s="76"/>
      <c r="M46" s="76"/>
      <c r="N46" s="76"/>
    </row>
    <row r="47" spans="1:19" x14ac:dyDescent="0.35">
      <c r="A47" s="75" t="s">
        <v>716</v>
      </c>
      <c r="B47" s="76">
        <v>0.5</v>
      </c>
      <c r="C47" s="76">
        <v>0.67</v>
      </c>
      <c r="E47" s="75" t="s">
        <v>716</v>
      </c>
      <c r="F47" s="76">
        <f t="shared" ref="F47:F54" si="6">SQRT(((B47-$B$46)^2)+((C47-$C$46)^2))</f>
        <v>0.26076809620810598</v>
      </c>
      <c r="G47" s="76">
        <v>0</v>
      </c>
      <c r="H47" s="76"/>
      <c r="I47" s="76"/>
      <c r="J47" s="76"/>
      <c r="K47" s="76"/>
      <c r="L47" s="76"/>
      <c r="M47" s="76"/>
      <c r="N47" s="76"/>
    </row>
    <row r="48" spans="1:19" x14ac:dyDescent="0.35">
      <c r="A48" s="75" t="s">
        <v>717</v>
      </c>
      <c r="B48" s="76">
        <v>0.25</v>
      </c>
      <c r="C48" s="76">
        <v>0.21</v>
      </c>
      <c r="E48" s="75" t="s">
        <v>717</v>
      </c>
      <c r="F48" s="76">
        <f t="shared" si="6"/>
        <v>0.26400757564888172</v>
      </c>
      <c r="G48" s="76">
        <v>0.52</v>
      </c>
      <c r="H48" s="76">
        <v>0</v>
      </c>
      <c r="I48" s="76"/>
      <c r="J48" s="76"/>
      <c r="K48" s="76"/>
      <c r="L48" s="76"/>
      <c r="M48" s="76"/>
      <c r="N48" s="76"/>
    </row>
    <row r="49" spans="1:19" x14ac:dyDescent="0.35">
      <c r="A49" s="75" t="s">
        <v>718</v>
      </c>
      <c r="B49" s="76">
        <v>0.6</v>
      </c>
      <c r="C49" s="76">
        <v>0.76</v>
      </c>
      <c r="E49" s="75" t="s">
        <v>718</v>
      </c>
      <c r="F49" s="76">
        <f t="shared" si="6"/>
        <v>0.3920459156782532</v>
      </c>
      <c r="G49" s="76">
        <v>0.14000000000000001</v>
      </c>
      <c r="H49" s="76">
        <v>0.65</v>
      </c>
      <c r="I49" s="76">
        <v>0</v>
      </c>
      <c r="J49" s="76"/>
      <c r="K49" s="76"/>
      <c r="L49" s="76"/>
      <c r="M49" s="76"/>
      <c r="N49" s="76"/>
    </row>
    <row r="50" spans="1:19" x14ac:dyDescent="0.35">
      <c r="A50" s="75" t="s">
        <v>719</v>
      </c>
      <c r="B50" s="76">
        <v>0.3</v>
      </c>
      <c r="C50" s="76">
        <v>0.3</v>
      </c>
      <c r="E50" s="75" t="s">
        <v>719</v>
      </c>
      <c r="F50" s="76">
        <f t="shared" si="6"/>
        <v>0.16155494421403513</v>
      </c>
      <c r="G50" s="76">
        <v>0.42</v>
      </c>
      <c r="H50" s="76">
        <v>0.1</v>
      </c>
      <c r="I50" s="76">
        <v>0.54</v>
      </c>
      <c r="J50" s="76">
        <v>0</v>
      </c>
      <c r="K50" s="76"/>
      <c r="L50" s="76"/>
      <c r="M50" s="76"/>
      <c r="N50" s="76"/>
      <c r="S50" s="77"/>
    </row>
    <row r="51" spans="1:19" x14ac:dyDescent="0.35">
      <c r="A51" s="75" t="s">
        <v>720</v>
      </c>
      <c r="B51" s="76">
        <v>1</v>
      </c>
      <c r="C51" s="76">
        <v>1</v>
      </c>
      <c r="E51" s="75" t="s">
        <v>720</v>
      </c>
      <c r="F51" s="76">
        <f t="shared" si="6"/>
        <v>0.8438601779915913</v>
      </c>
      <c r="G51" s="76">
        <v>0.6</v>
      </c>
      <c r="H51" s="76">
        <v>1.0900000000000001</v>
      </c>
      <c r="I51" s="76">
        <v>0.47</v>
      </c>
      <c r="J51" s="76">
        <v>0.99</v>
      </c>
      <c r="K51" s="76">
        <v>0</v>
      </c>
      <c r="L51" s="76"/>
      <c r="M51" s="76"/>
      <c r="N51" s="76"/>
    </row>
    <row r="52" spans="1:19" x14ac:dyDescent="0.35">
      <c r="A52" s="75" t="s">
        <v>721</v>
      </c>
      <c r="B52" s="76">
        <v>0.75</v>
      </c>
      <c r="C52" s="76">
        <v>0.88</v>
      </c>
      <c r="E52" s="75" t="s">
        <v>721</v>
      </c>
      <c r="F52" s="76">
        <f t="shared" si="6"/>
        <v>0.58051701094799968</v>
      </c>
      <c r="G52" s="76">
        <v>0.33</v>
      </c>
      <c r="H52" s="76">
        <v>0.83</v>
      </c>
      <c r="I52" s="76">
        <v>0.19</v>
      </c>
      <c r="J52" s="76">
        <v>0.73</v>
      </c>
      <c r="K52" s="76">
        <v>0.28000000000000003</v>
      </c>
      <c r="L52" s="76">
        <v>0</v>
      </c>
      <c r="M52" s="76"/>
      <c r="N52" s="76"/>
      <c r="R52" s="77"/>
    </row>
    <row r="53" spans="1:19" x14ac:dyDescent="0.35">
      <c r="A53" s="75" t="s">
        <v>722</v>
      </c>
      <c r="B53" s="76">
        <v>0.45</v>
      </c>
      <c r="C53" s="76">
        <v>0.61</v>
      </c>
      <c r="E53" s="75" t="s">
        <v>722</v>
      </c>
      <c r="F53" s="76">
        <f t="shared" si="6"/>
        <v>0.18357559750685817</v>
      </c>
      <c r="G53" s="78">
        <v>0.08</v>
      </c>
      <c r="H53" s="76">
        <v>0.44</v>
      </c>
      <c r="I53" s="76">
        <v>0.21</v>
      </c>
      <c r="J53" s="76">
        <v>0.34</v>
      </c>
      <c r="K53" s="76">
        <v>0.68</v>
      </c>
      <c r="L53" s="76">
        <v>0.41</v>
      </c>
      <c r="M53" s="76">
        <v>0</v>
      </c>
      <c r="N53" s="76"/>
      <c r="R53" s="77"/>
    </row>
    <row r="54" spans="1:19" x14ac:dyDescent="0.35">
      <c r="A54" s="75" t="s">
        <v>723</v>
      </c>
      <c r="B54" s="76">
        <v>0.7</v>
      </c>
      <c r="C54" s="76">
        <v>0.82</v>
      </c>
      <c r="E54" s="75" t="s">
        <v>723</v>
      </c>
      <c r="F54" s="76">
        <f t="shared" si="6"/>
        <v>0.50249378105604448</v>
      </c>
      <c r="G54" s="76">
        <v>0.25</v>
      </c>
      <c r="H54" s="76">
        <v>0.75</v>
      </c>
      <c r="I54" s="76">
        <v>0.12</v>
      </c>
      <c r="J54" s="76">
        <v>0.65</v>
      </c>
      <c r="K54" s="76">
        <v>0.35</v>
      </c>
      <c r="L54" s="78">
        <v>0.08</v>
      </c>
      <c r="M54" s="76">
        <v>0.33</v>
      </c>
      <c r="N54" s="76">
        <v>0</v>
      </c>
    </row>
    <row r="57" spans="1:19" x14ac:dyDescent="0.35">
      <c r="E57" s="75" t="s">
        <v>731</v>
      </c>
      <c r="F57" s="76">
        <f>G53</f>
        <v>0.08</v>
      </c>
      <c r="G57" s="74" t="s">
        <v>741</v>
      </c>
      <c r="H57" s="74" t="s">
        <v>742</v>
      </c>
    </row>
    <row r="58" spans="1:19" x14ac:dyDescent="0.35">
      <c r="E58" s="73" t="s">
        <v>743</v>
      </c>
    </row>
    <row r="59" spans="1:19" x14ac:dyDescent="0.35">
      <c r="E59" s="73" t="s">
        <v>744</v>
      </c>
    </row>
    <row r="60" spans="1:19" x14ac:dyDescent="0.35">
      <c r="E60" s="73" t="s">
        <v>745</v>
      </c>
    </row>
    <row r="61" spans="1:19" x14ac:dyDescent="0.35">
      <c r="E61" s="75" t="s">
        <v>746</v>
      </c>
      <c r="F61" s="76">
        <f>AVERAGE(B47,B53)</f>
        <v>0.47499999999999998</v>
      </c>
    </row>
    <row r="62" spans="1:19" x14ac:dyDescent="0.35">
      <c r="E62" s="75" t="s">
        <v>747</v>
      </c>
      <c r="F62" s="76">
        <f>AVERAGE(C47,C53)</f>
        <v>0.64</v>
      </c>
    </row>
    <row r="63" spans="1:19" x14ac:dyDescent="0.35">
      <c r="E63" s="73" t="s">
        <v>748</v>
      </c>
    </row>
    <row r="64" spans="1:19" x14ac:dyDescent="0.35">
      <c r="E64" s="73" t="s">
        <v>749</v>
      </c>
    </row>
    <row r="65" spans="1:19" x14ac:dyDescent="0.35">
      <c r="E65" s="75" t="s">
        <v>750</v>
      </c>
      <c r="F65" s="76">
        <f>AVERAGE(B52,B54)</f>
        <v>0.72499999999999998</v>
      </c>
    </row>
    <row r="66" spans="1:19" x14ac:dyDescent="0.35">
      <c r="E66" s="75" t="s">
        <v>751</v>
      </c>
      <c r="F66" s="76">
        <f>AVERAGE(C52,C54)</f>
        <v>0.85</v>
      </c>
    </row>
    <row r="69" spans="1:19" x14ac:dyDescent="0.35">
      <c r="E69" s="73" t="s">
        <v>752</v>
      </c>
    </row>
    <row r="70" spans="1:19" x14ac:dyDescent="0.35">
      <c r="A70" s="75" t="s">
        <v>710</v>
      </c>
      <c r="B70" s="75" t="s">
        <v>729</v>
      </c>
      <c r="C70" s="75" t="s">
        <v>730</v>
      </c>
      <c r="E70" s="75"/>
      <c r="F70" s="75" t="s">
        <v>753</v>
      </c>
      <c r="G70" s="75" t="s">
        <v>754</v>
      </c>
      <c r="H70" s="75" t="s">
        <v>740</v>
      </c>
      <c r="I70" s="75" t="s">
        <v>717</v>
      </c>
      <c r="J70" s="75" t="s">
        <v>718</v>
      </c>
      <c r="K70" s="75" t="s">
        <v>719</v>
      </c>
      <c r="L70" s="75" t="s">
        <v>720</v>
      </c>
    </row>
    <row r="71" spans="1:19" x14ac:dyDescent="0.35">
      <c r="A71" s="75" t="s">
        <v>753</v>
      </c>
      <c r="B71" s="76">
        <f>F65</f>
        <v>0.72499999999999998</v>
      </c>
      <c r="C71" s="76">
        <f>F66</f>
        <v>0.85</v>
      </c>
      <c r="E71" s="75" t="s">
        <v>753</v>
      </c>
      <c r="F71" s="76">
        <v>0</v>
      </c>
      <c r="G71" s="76"/>
      <c r="H71" s="76"/>
      <c r="I71" s="76"/>
      <c r="J71" s="76"/>
      <c r="K71" s="76"/>
      <c r="L71" s="75"/>
      <c r="R71" s="77"/>
    </row>
    <row r="72" spans="1:19" x14ac:dyDescent="0.35">
      <c r="A72" s="75" t="s">
        <v>754</v>
      </c>
      <c r="B72" s="76">
        <f>F61</f>
        <v>0.47499999999999998</v>
      </c>
      <c r="C72" s="76">
        <f>F62</f>
        <v>0.64</v>
      </c>
      <c r="E72" s="75" t="s">
        <v>754</v>
      </c>
      <c r="F72" s="76">
        <f t="shared" ref="F72:F77" si="7">SQRT(((B72-$B$71)^2)+((C72-$C$71)^2))</f>
        <v>0.32649655434629016</v>
      </c>
      <c r="G72" s="76">
        <v>0</v>
      </c>
      <c r="H72" s="76"/>
      <c r="I72" s="76"/>
      <c r="J72" s="76"/>
      <c r="K72" s="76"/>
      <c r="L72" s="75"/>
    </row>
    <row r="73" spans="1:19" x14ac:dyDescent="0.35">
      <c r="A73" s="75" t="s">
        <v>740</v>
      </c>
      <c r="B73" s="76">
        <f>F40</f>
        <v>0.36249999999999999</v>
      </c>
      <c r="C73" s="76">
        <f>F41</f>
        <v>0.45454545454545459</v>
      </c>
      <c r="E73" s="75" t="s">
        <v>740</v>
      </c>
      <c r="F73" s="76">
        <f t="shared" si="7"/>
        <v>0.53646113328055844</v>
      </c>
      <c r="G73" s="76">
        <f>SQRT(((B73-$B$74)^2)+((C74-$C$73)^2))</f>
        <v>0.26918159175330508</v>
      </c>
      <c r="H73" s="76">
        <v>0</v>
      </c>
      <c r="I73" s="76"/>
      <c r="J73" s="76"/>
      <c r="K73" s="76"/>
      <c r="L73" s="75"/>
      <c r="R73" s="77"/>
      <c r="S73" s="77"/>
    </row>
    <row r="74" spans="1:19" x14ac:dyDescent="0.35">
      <c r="A74" s="75" t="s">
        <v>717</v>
      </c>
      <c r="B74" s="76">
        <v>0.25</v>
      </c>
      <c r="C74" s="76">
        <v>0.21</v>
      </c>
      <c r="E74" s="75" t="s">
        <v>717</v>
      </c>
      <c r="F74" s="76">
        <f t="shared" si="7"/>
        <v>0.79701003757794675</v>
      </c>
      <c r="G74" s="76">
        <f>SQRT(((B74-$B$74)^2)+((C75-$C$73)^2))</f>
        <v>0.30545454545454542</v>
      </c>
      <c r="H74" s="76">
        <v>0.26</v>
      </c>
      <c r="I74" s="76">
        <v>0</v>
      </c>
      <c r="J74" s="76"/>
      <c r="K74" s="76"/>
      <c r="L74" s="75"/>
    </row>
    <row r="75" spans="1:19" x14ac:dyDescent="0.35">
      <c r="A75" s="75" t="s">
        <v>718</v>
      </c>
      <c r="B75" s="76">
        <v>0.6</v>
      </c>
      <c r="C75" s="76">
        <v>0.76</v>
      </c>
      <c r="E75" s="75" t="s">
        <v>718</v>
      </c>
      <c r="F75" s="76">
        <f t="shared" si="7"/>
        <v>0.15402921800749361</v>
      </c>
      <c r="G75" s="76">
        <f>SQRT(((B75-$B$74)^2)+((C76-$C$73)^2))</f>
        <v>0.38260200930034483</v>
      </c>
      <c r="H75" s="76">
        <v>0.39</v>
      </c>
      <c r="I75" s="76">
        <v>0.65</v>
      </c>
      <c r="J75" s="76">
        <v>0</v>
      </c>
      <c r="K75" s="76"/>
      <c r="L75" s="75"/>
    </row>
    <row r="76" spans="1:19" x14ac:dyDescent="0.35">
      <c r="A76" s="75" t="s">
        <v>719</v>
      </c>
      <c r="B76" s="76">
        <v>0.3</v>
      </c>
      <c r="C76" s="76">
        <v>0.3</v>
      </c>
      <c r="E76" s="75" t="s">
        <v>719</v>
      </c>
      <c r="F76" s="76">
        <f t="shared" si="7"/>
        <v>0.69507193872289219</v>
      </c>
      <c r="G76" s="76">
        <f>SQRT(((B76-$B$74)^2)+((C77-$C$73)^2))</f>
        <v>0.54774141815004707</v>
      </c>
      <c r="H76" s="76">
        <v>0.16</v>
      </c>
      <c r="I76" s="78">
        <v>0.1</v>
      </c>
      <c r="J76" s="76">
        <v>0.54</v>
      </c>
      <c r="K76" s="76">
        <v>0</v>
      </c>
      <c r="L76" s="75"/>
    </row>
    <row r="77" spans="1:19" x14ac:dyDescent="0.35">
      <c r="A77" s="75" t="s">
        <v>720</v>
      </c>
      <c r="B77" s="76">
        <v>1</v>
      </c>
      <c r="C77" s="76">
        <v>1</v>
      </c>
      <c r="E77" s="75" t="s">
        <v>720</v>
      </c>
      <c r="F77" s="76">
        <f t="shared" si="7"/>
        <v>0.31324910215354174</v>
      </c>
      <c r="G77" s="76">
        <f>SQRT(((B77-$B$74)^2)+((B78-$C$73)^2))</f>
        <v>0.87699006279885172</v>
      </c>
      <c r="H77" s="76">
        <v>0.84</v>
      </c>
      <c r="I77" s="76">
        <v>1.0900000000000001</v>
      </c>
      <c r="J77" s="76">
        <v>0.47</v>
      </c>
      <c r="K77" s="76">
        <v>0.99</v>
      </c>
      <c r="L77" s="75">
        <v>0</v>
      </c>
    </row>
    <row r="78" spans="1:19" x14ac:dyDescent="0.35">
      <c r="A78"/>
      <c r="B78"/>
      <c r="C78"/>
      <c r="D78"/>
    </row>
    <row r="79" spans="1:19" x14ac:dyDescent="0.35">
      <c r="A79"/>
      <c r="B79"/>
      <c r="C79"/>
      <c r="D79"/>
    </row>
    <row r="80" spans="1:19" x14ac:dyDescent="0.35">
      <c r="A80"/>
      <c r="B80"/>
      <c r="C80"/>
      <c r="D80"/>
      <c r="E80" s="75" t="s">
        <v>731</v>
      </c>
      <c r="F80" s="76">
        <f>I76</f>
        <v>0.1</v>
      </c>
      <c r="G80" s="74" t="s">
        <v>755</v>
      </c>
    </row>
    <row r="81" spans="1:19" x14ac:dyDescent="0.35">
      <c r="A81"/>
      <c r="B81"/>
      <c r="C81"/>
      <c r="D81"/>
      <c r="E81" s="73" t="s">
        <v>756</v>
      </c>
    </row>
    <row r="82" spans="1:19" x14ac:dyDescent="0.35">
      <c r="A82"/>
      <c r="B82"/>
      <c r="C82"/>
      <c r="D82"/>
      <c r="E82" s="73" t="s">
        <v>757</v>
      </c>
    </row>
    <row r="83" spans="1:19" x14ac:dyDescent="0.35">
      <c r="A83"/>
      <c r="B83"/>
      <c r="C83"/>
      <c r="D83"/>
      <c r="E83" s="73" t="s">
        <v>758</v>
      </c>
    </row>
    <row r="84" spans="1:19" x14ac:dyDescent="0.35">
      <c r="E84" s="75" t="s">
        <v>759</v>
      </c>
      <c r="F84" s="76">
        <f>AVERAGE(B76,B74)</f>
        <v>0.27500000000000002</v>
      </c>
    </row>
    <row r="85" spans="1:19" x14ac:dyDescent="0.35">
      <c r="E85" s="75" t="s">
        <v>760</v>
      </c>
      <c r="F85" s="76">
        <f>AVERAGE(C74,C76)</f>
        <v>0.255</v>
      </c>
    </row>
    <row r="86" spans="1:19" x14ac:dyDescent="0.35">
      <c r="F86" s="77"/>
    </row>
    <row r="87" spans="1:19" x14ac:dyDescent="0.35">
      <c r="F87" s="77"/>
    </row>
    <row r="88" spans="1:19" x14ac:dyDescent="0.35">
      <c r="E88" s="73" t="s">
        <v>761</v>
      </c>
      <c r="F88" s="77"/>
    </row>
    <row r="89" spans="1:19" x14ac:dyDescent="0.35">
      <c r="A89" s="75" t="s">
        <v>710</v>
      </c>
      <c r="B89" s="75" t="s">
        <v>729</v>
      </c>
      <c r="C89" s="75" t="s">
        <v>730</v>
      </c>
      <c r="E89" s="75"/>
      <c r="F89" s="75" t="s">
        <v>762</v>
      </c>
      <c r="G89" s="75" t="s">
        <v>753</v>
      </c>
      <c r="H89" s="75" t="s">
        <v>754</v>
      </c>
      <c r="I89" s="75" t="s">
        <v>740</v>
      </c>
      <c r="J89" s="75" t="s">
        <v>718</v>
      </c>
      <c r="K89" s="75" t="s">
        <v>720</v>
      </c>
    </row>
    <row r="90" spans="1:19" x14ac:dyDescent="0.35">
      <c r="A90" s="75" t="s">
        <v>762</v>
      </c>
      <c r="B90" s="76">
        <f>F84</f>
        <v>0.27500000000000002</v>
      </c>
      <c r="C90" s="76">
        <f>F85</f>
        <v>0.255</v>
      </c>
      <c r="E90" s="75" t="s">
        <v>762</v>
      </c>
      <c r="F90" s="76">
        <v>0</v>
      </c>
      <c r="G90" s="76"/>
      <c r="H90" s="76"/>
      <c r="I90" s="76"/>
      <c r="J90" s="76"/>
      <c r="K90" s="76"/>
    </row>
    <row r="91" spans="1:19" x14ac:dyDescent="0.35">
      <c r="A91" s="75" t="s">
        <v>753</v>
      </c>
      <c r="B91" s="76">
        <f>B71</f>
        <v>0.72499999999999998</v>
      </c>
      <c r="C91" s="76">
        <v>0.85</v>
      </c>
      <c r="E91" s="75" t="s">
        <v>753</v>
      </c>
      <c r="F91" s="76">
        <f>SQRT(((B91-$B$90)^2)+((C91-$C$90)^2))</f>
        <v>0.74600603214719374</v>
      </c>
      <c r="G91" s="76">
        <v>0</v>
      </c>
      <c r="H91" s="76"/>
      <c r="I91" s="76"/>
      <c r="J91" s="76"/>
      <c r="K91" s="76"/>
      <c r="R91" s="77"/>
    </row>
    <row r="92" spans="1:19" x14ac:dyDescent="0.35">
      <c r="A92" s="75" t="s">
        <v>754</v>
      </c>
      <c r="B92" s="76">
        <v>0.48</v>
      </c>
      <c r="C92" s="76">
        <v>0.64</v>
      </c>
      <c r="E92" s="75" t="s">
        <v>754</v>
      </c>
      <c r="F92" s="76">
        <f>SQRT(((B92-$B$90)^2)+((C92-$C$90)^2))</f>
        <v>0.43617656975128771</v>
      </c>
      <c r="G92" s="76">
        <v>0.33</v>
      </c>
      <c r="H92" s="76">
        <v>0</v>
      </c>
      <c r="I92" s="76"/>
      <c r="J92" s="76"/>
      <c r="K92" s="76"/>
      <c r="R92" s="77"/>
      <c r="S92" s="77"/>
    </row>
    <row r="93" spans="1:19" x14ac:dyDescent="0.35">
      <c r="A93" s="75" t="s">
        <v>740</v>
      </c>
      <c r="B93" s="76">
        <v>0.36</v>
      </c>
      <c r="C93" s="76">
        <v>0.45</v>
      </c>
      <c r="E93" s="75" t="s">
        <v>740</v>
      </c>
      <c r="F93" s="76">
        <f>SQRT(((B93-$B$90)^2)+((C93-$C$90)^2))</f>
        <v>0.21272047386182646</v>
      </c>
      <c r="G93" s="76">
        <v>0.54</v>
      </c>
      <c r="H93" s="76">
        <v>0.26</v>
      </c>
      <c r="I93" s="76">
        <v>0</v>
      </c>
      <c r="J93" s="76"/>
      <c r="K93" s="76"/>
    </row>
    <row r="94" spans="1:19" x14ac:dyDescent="0.35">
      <c r="A94" s="75" t="s">
        <v>718</v>
      </c>
      <c r="B94" s="76">
        <v>0.6</v>
      </c>
      <c r="C94" s="76">
        <v>0.76</v>
      </c>
      <c r="E94" s="75" t="s">
        <v>718</v>
      </c>
      <c r="F94" s="76">
        <f>SQRT(((B94-$B$90)^2)+((C94-$C$90)^2))</f>
        <v>0.60054142238483432</v>
      </c>
      <c r="G94" s="78">
        <v>0.16</v>
      </c>
      <c r="H94" s="76">
        <v>0.38</v>
      </c>
      <c r="I94" s="76">
        <v>0.39</v>
      </c>
      <c r="J94" s="76">
        <v>0</v>
      </c>
      <c r="K94" s="76"/>
    </row>
    <row r="95" spans="1:19" x14ac:dyDescent="0.35">
      <c r="A95" s="75" t="s">
        <v>720</v>
      </c>
      <c r="B95" s="76">
        <v>1</v>
      </c>
      <c r="C95" s="76">
        <v>1</v>
      </c>
      <c r="E95" s="75" t="s">
        <v>720</v>
      </c>
      <c r="F95" s="76">
        <f>SQRT(((B95-$B$90)^2)+((C95-$C$90)^2))</f>
        <v>1.0395431688967995</v>
      </c>
      <c r="G95" s="76">
        <v>0.31</v>
      </c>
      <c r="H95" s="76">
        <v>0.87</v>
      </c>
      <c r="I95" s="76">
        <v>0.84</v>
      </c>
      <c r="J95" s="76">
        <v>0.47</v>
      </c>
      <c r="K95" s="76">
        <v>0</v>
      </c>
    </row>
    <row r="96" spans="1:19" x14ac:dyDescent="0.35">
      <c r="A96"/>
      <c r="B96"/>
      <c r="C96"/>
    </row>
    <row r="97" spans="1:16" x14ac:dyDescent="0.35">
      <c r="A97"/>
      <c r="B97"/>
      <c r="C97"/>
    </row>
    <row r="98" spans="1:16" x14ac:dyDescent="0.35">
      <c r="A98"/>
      <c r="B98"/>
      <c r="C98"/>
      <c r="E98" s="75" t="s">
        <v>731</v>
      </c>
      <c r="F98" s="76">
        <f>G94</f>
        <v>0.16</v>
      </c>
      <c r="G98" s="74" t="s">
        <v>763</v>
      </c>
    </row>
    <row r="99" spans="1:16" x14ac:dyDescent="0.35">
      <c r="A99"/>
      <c r="B99"/>
      <c r="C99"/>
      <c r="E99" s="73" t="s">
        <v>764</v>
      </c>
    </row>
    <row r="100" spans="1:16" x14ac:dyDescent="0.35">
      <c r="A100"/>
      <c r="B100"/>
      <c r="C100"/>
      <c r="E100" s="73" t="s">
        <v>765</v>
      </c>
    </row>
    <row r="101" spans="1:16" x14ac:dyDescent="0.35">
      <c r="E101" s="73" t="s">
        <v>766</v>
      </c>
    </row>
    <row r="102" spans="1:16" x14ac:dyDescent="0.35">
      <c r="E102" s="75" t="s">
        <v>767</v>
      </c>
      <c r="F102" s="76">
        <f>AVERAGE(B94,B91)</f>
        <v>0.66249999999999998</v>
      </c>
    </row>
    <row r="103" spans="1:16" x14ac:dyDescent="0.35">
      <c r="E103" s="75" t="s">
        <v>768</v>
      </c>
      <c r="F103" s="76">
        <f>AVERAGE(C92,C91)</f>
        <v>0.745</v>
      </c>
    </row>
    <row r="104" spans="1:16" x14ac:dyDescent="0.35">
      <c r="F104" s="77"/>
    </row>
    <row r="105" spans="1:16" x14ac:dyDescent="0.35">
      <c r="F105" s="77"/>
    </row>
    <row r="106" spans="1:16" x14ac:dyDescent="0.35">
      <c r="E106" s="73" t="s">
        <v>769</v>
      </c>
    </row>
    <row r="107" spans="1:16" x14ac:dyDescent="0.35">
      <c r="A107" s="75" t="s">
        <v>710</v>
      </c>
      <c r="B107" s="75" t="s">
        <v>729</v>
      </c>
      <c r="C107" s="75" t="s">
        <v>730</v>
      </c>
      <c r="E107" s="75"/>
      <c r="F107" s="75" t="s">
        <v>770</v>
      </c>
      <c r="G107" s="75" t="s">
        <v>762</v>
      </c>
      <c r="H107" s="75" t="s">
        <v>754</v>
      </c>
      <c r="I107" s="75" t="s">
        <v>740</v>
      </c>
      <c r="J107" s="75" t="s">
        <v>720</v>
      </c>
    </row>
    <row r="108" spans="1:16" x14ac:dyDescent="0.35">
      <c r="A108" s="75" t="s">
        <v>770</v>
      </c>
      <c r="B108" s="76">
        <f>F102</f>
        <v>0.66249999999999998</v>
      </c>
      <c r="C108" s="76">
        <f>F103</f>
        <v>0.745</v>
      </c>
      <c r="E108" s="75" t="s">
        <v>770</v>
      </c>
      <c r="F108" s="76">
        <v>0</v>
      </c>
      <c r="G108" s="76"/>
      <c r="H108" s="76"/>
      <c r="I108" s="76"/>
      <c r="J108" s="76"/>
    </row>
    <row r="109" spans="1:16" x14ac:dyDescent="0.35">
      <c r="A109" s="75" t="s">
        <v>762</v>
      </c>
      <c r="B109" s="76">
        <v>0.28000000000000003</v>
      </c>
      <c r="C109" s="76">
        <v>0.26</v>
      </c>
      <c r="E109" s="75" t="s">
        <v>762</v>
      </c>
      <c r="F109" s="76">
        <f>SQRT(((B109-$B$108)^2)+((C109-$C$108)^2))</f>
        <v>0.6176821593667734</v>
      </c>
      <c r="G109" s="76">
        <v>0</v>
      </c>
      <c r="H109" s="76"/>
      <c r="I109" s="76"/>
      <c r="J109" s="76"/>
      <c r="O109" s="77"/>
    </row>
    <row r="110" spans="1:16" x14ac:dyDescent="0.35">
      <c r="A110" s="75" t="s">
        <v>754</v>
      </c>
      <c r="B110" s="76">
        <v>0.48</v>
      </c>
      <c r="C110" s="75">
        <v>0.64</v>
      </c>
      <c r="E110" s="75" t="s">
        <v>754</v>
      </c>
      <c r="F110" s="78">
        <f>SQRT(((B110-$B$108)^2)+((C110-$C$108)^2))</f>
        <v>0.21054987532648883</v>
      </c>
      <c r="G110" s="76">
        <v>0.43</v>
      </c>
      <c r="H110" s="76">
        <v>0</v>
      </c>
      <c r="I110" s="76"/>
      <c r="J110" s="76"/>
      <c r="O110" s="77"/>
      <c r="P110" s="77"/>
    </row>
    <row r="111" spans="1:16" x14ac:dyDescent="0.35">
      <c r="A111" s="75" t="s">
        <v>740</v>
      </c>
      <c r="B111" s="75">
        <v>0.36</v>
      </c>
      <c r="C111" s="75">
        <v>0.45</v>
      </c>
      <c r="E111" s="75" t="s">
        <v>740</v>
      </c>
      <c r="F111" s="76">
        <f>SQRT(((B111-$B$108)^2)+((C111-$C$108)^2))</f>
        <v>0.422529584763008</v>
      </c>
      <c r="G111" s="78">
        <v>0.21</v>
      </c>
      <c r="H111" s="76">
        <v>0.26</v>
      </c>
      <c r="I111" s="76">
        <v>0</v>
      </c>
      <c r="J111" s="76"/>
    </row>
    <row r="112" spans="1:16" x14ac:dyDescent="0.35">
      <c r="A112" s="75" t="s">
        <v>720</v>
      </c>
      <c r="B112" s="75">
        <v>1</v>
      </c>
      <c r="C112" s="75">
        <v>1</v>
      </c>
      <c r="E112" s="75" t="s">
        <v>720</v>
      </c>
      <c r="F112" s="76">
        <f>SQRT(((B112-$B$108)^2)+((C112-$C$108)^2))</f>
        <v>0.42300265956610722</v>
      </c>
      <c r="G112" s="76">
        <v>1.03</v>
      </c>
      <c r="H112" s="76">
        <v>0.87</v>
      </c>
      <c r="I112" s="76">
        <v>0.84</v>
      </c>
      <c r="J112" s="76">
        <v>0</v>
      </c>
    </row>
    <row r="113" spans="1:17" x14ac:dyDescent="0.35">
      <c r="A113"/>
      <c r="B113"/>
      <c r="C113"/>
    </row>
    <row r="115" spans="1:17" x14ac:dyDescent="0.35">
      <c r="E115" s="75" t="s">
        <v>731</v>
      </c>
      <c r="F115" s="76">
        <f>G111</f>
        <v>0.21</v>
      </c>
      <c r="G115" s="74" t="s">
        <v>771</v>
      </c>
      <c r="H115" s="74" t="s">
        <v>772</v>
      </c>
    </row>
    <row r="116" spans="1:17" x14ac:dyDescent="0.35">
      <c r="E116" s="73" t="s">
        <v>773</v>
      </c>
    </row>
    <row r="117" spans="1:17" x14ac:dyDescent="0.35">
      <c r="E117" s="73" t="s">
        <v>774</v>
      </c>
    </row>
    <row r="118" spans="1:17" x14ac:dyDescent="0.35">
      <c r="D118"/>
      <c r="E118" s="73" t="s">
        <v>775</v>
      </c>
      <c r="I118"/>
    </row>
    <row r="119" spans="1:17" x14ac:dyDescent="0.35">
      <c r="D119"/>
      <c r="E119" s="75" t="s">
        <v>776</v>
      </c>
      <c r="F119" s="76">
        <f>AVERAGE(B110,B108)</f>
        <v>0.57125000000000004</v>
      </c>
      <c r="I119"/>
    </row>
    <row r="120" spans="1:17" x14ac:dyDescent="0.35">
      <c r="D120"/>
      <c r="E120" s="75" t="s">
        <v>777</v>
      </c>
      <c r="F120" s="76">
        <f>AVERAGE(C110,C108)</f>
        <v>0.6925</v>
      </c>
      <c r="I120"/>
    </row>
    <row r="121" spans="1:17" x14ac:dyDescent="0.35">
      <c r="D121"/>
      <c r="E121" s="73" t="s">
        <v>778</v>
      </c>
      <c r="I121"/>
    </row>
    <row r="122" spans="1:17" x14ac:dyDescent="0.35">
      <c r="D122"/>
      <c r="E122" s="73" t="s">
        <v>779</v>
      </c>
      <c r="I122"/>
    </row>
    <row r="123" spans="1:17" x14ac:dyDescent="0.35">
      <c r="B123"/>
      <c r="C123"/>
      <c r="D123"/>
      <c r="E123" s="75" t="s">
        <v>780</v>
      </c>
      <c r="F123" s="76">
        <f>AVERAGE(B111,B109)</f>
        <v>0.32</v>
      </c>
      <c r="I123"/>
      <c r="J123"/>
      <c r="K123"/>
      <c r="L123"/>
      <c r="M123"/>
      <c r="N123"/>
      <c r="O123"/>
      <c r="P123"/>
      <c r="Q123"/>
    </row>
    <row r="124" spans="1:17" x14ac:dyDescent="0.35">
      <c r="B124"/>
      <c r="C124"/>
      <c r="D124"/>
      <c r="E124" s="75" t="s">
        <v>781</v>
      </c>
      <c r="F124" s="76">
        <f>AVERAGE(C111,C109)</f>
        <v>0.35499999999999998</v>
      </c>
      <c r="I124"/>
      <c r="J124"/>
      <c r="K124"/>
      <c r="L124"/>
      <c r="M124"/>
      <c r="N124"/>
      <c r="O124"/>
      <c r="P124"/>
      <c r="Q124"/>
    </row>
    <row r="125" spans="1:17" x14ac:dyDescent="0.35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</row>
    <row r="126" spans="1:17" x14ac:dyDescent="0.35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</row>
    <row r="127" spans="1:17" x14ac:dyDescent="0.35">
      <c r="E127" s="73" t="s">
        <v>782</v>
      </c>
      <c r="K127"/>
      <c r="L127"/>
      <c r="M127"/>
      <c r="N127"/>
      <c r="O127"/>
      <c r="P127"/>
      <c r="Q127"/>
    </row>
    <row r="128" spans="1:17" x14ac:dyDescent="0.35">
      <c r="A128" s="75" t="s">
        <v>710</v>
      </c>
      <c r="B128" s="75" t="s">
        <v>729</v>
      </c>
      <c r="C128" s="75" t="s">
        <v>730</v>
      </c>
      <c r="E128" s="75"/>
      <c r="F128" s="75" t="s">
        <v>783</v>
      </c>
      <c r="G128" s="75" t="s">
        <v>784</v>
      </c>
      <c r="H128" s="75" t="s">
        <v>720</v>
      </c>
      <c r="I128"/>
      <c r="J128"/>
      <c r="K128"/>
      <c r="L128"/>
      <c r="M128"/>
      <c r="N128"/>
      <c r="O128"/>
      <c r="P128"/>
      <c r="Q128"/>
    </row>
    <row r="129" spans="1:17" x14ac:dyDescent="0.35">
      <c r="A129" s="75" t="s">
        <v>783</v>
      </c>
      <c r="B129" s="76">
        <f>F123</f>
        <v>0.32</v>
      </c>
      <c r="C129" s="76">
        <f>F124</f>
        <v>0.35499999999999998</v>
      </c>
      <c r="E129" s="75" t="s">
        <v>783</v>
      </c>
      <c r="F129" s="76">
        <v>0</v>
      </c>
      <c r="G129" s="76"/>
      <c r="H129" s="76"/>
      <c r="I129"/>
      <c r="J129"/>
      <c r="K129"/>
      <c r="L129"/>
      <c r="M129"/>
      <c r="N129"/>
      <c r="O129"/>
      <c r="P129"/>
      <c r="Q129"/>
    </row>
    <row r="130" spans="1:17" x14ac:dyDescent="0.35">
      <c r="A130" s="75" t="s">
        <v>784</v>
      </c>
      <c r="B130" s="76">
        <f>F119</f>
        <v>0.57125000000000004</v>
      </c>
      <c r="C130" s="76">
        <f>F120</f>
        <v>0.6925</v>
      </c>
      <c r="E130" s="75" t="s">
        <v>784</v>
      </c>
      <c r="F130" s="78">
        <f>SQRT(((B130-$B$108)^2)+((C130-$C$108)^2))</f>
        <v>0.10527493766324438</v>
      </c>
      <c r="G130" s="76">
        <v>0</v>
      </c>
      <c r="H130" s="76"/>
      <c r="I130"/>
      <c r="J130"/>
      <c r="K130"/>
      <c r="L130"/>
      <c r="M130"/>
      <c r="N130"/>
      <c r="O130"/>
      <c r="P130"/>
      <c r="Q130"/>
    </row>
    <row r="131" spans="1:17" x14ac:dyDescent="0.35">
      <c r="A131" s="75" t="s">
        <v>720</v>
      </c>
      <c r="B131" s="76">
        <f>B112</f>
        <v>1</v>
      </c>
      <c r="C131" s="76">
        <f>C112</f>
        <v>1</v>
      </c>
      <c r="E131" s="75" t="s">
        <v>720</v>
      </c>
      <c r="F131" s="76">
        <f>SQRT(((B131-$B$108)^2)+((C131-$C$108)^2))</f>
        <v>0.42300265956610722</v>
      </c>
      <c r="G131" s="76">
        <v>0.43</v>
      </c>
      <c r="H131" s="76">
        <v>0</v>
      </c>
      <c r="I131"/>
      <c r="J131"/>
      <c r="K131"/>
      <c r="L131"/>
      <c r="M131"/>
      <c r="N131"/>
      <c r="O131"/>
      <c r="P131"/>
      <c r="Q131"/>
    </row>
    <row r="132" spans="1:17" x14ac:dyDescent="0.35">
      <c r="A132"/>
      <c r="B132"/>
      <c r="C132"/>
      <c r="E132"/>
      <c r="F132"/>
      <c r="G132"/>
      <c r="H132"/>
      <c r="I132"/>
      <c r="J132"/>
      <c r="K132"/>
      <c r="L132"/>
      <c r="M132"/>
      <c r="N132"/>
      <c r="O132"/>
      <c r="P132"/>
      <c r="Q132"/>
    </row>
    <row r="133" spans="1:17" x14ac:dyDescent="0.35">
      <c r="A133"/>
      <c r="B133"/>
      <c r="C133"/>
      <c r="H133"/>
      <c r="I133"/>
      <c r="J133"/>
      <c r="K133"/>
      <c r="L133"/>
      <c r="M133"/>
      <c r="N133"/>
      <c r="O133"/>
      <c r="P133"/>
      <c r="Q133"/>
    </row>
    <row r="134" spans="1:17" x14ac:dyDescent="0.35">
      <c r="A134"/>
      <c r="B134"/>
      <c r="C134"/>
      <c r="D134"/>
      <c r="E134" s="75" t="s">
        <v>731</v>
      </c>
      <c r="F134" s="76">
        <f>F130</f>
        <v>0.10527493766324438</v>
      </c>
      <c r="G134" s="74" t="s">
        <v>785</v>
      </c>
      <c r="H134"/>
      <c r="I134"/>
      <c r="J134"/>
      <c r="K134"/>
      <c r="L134"/>
      <c r="M134"/>
      <c r="N134"/>
      <c r="O134"/>
      <c r="P134"/>
      <c r="Q134"/>
    </row>
    <row r="135" spans="1:17" x14ac:dyDescent="0.35">
      <c r="B135"/>
      <c r="C135"/>
      <c r="D135"/>
      <c r="E135" s="73" t="s">
        <v>786</v>
      </c>
      <c r="H135"/>
      <c r="I135"/>
      <c r="J135"/>
      <c r="K135"/>
      <c r="L135"/>
      <c r="M135"/>
      <c r="N135"/>
      <c r="O135"/>
      <c r="P135"/>
      <c r="Q135"/>
    </row>
    <row r="136" spans="1:17" x14ac:dyDescent="0.35">
      <c r="B136"/>
      <c r="C136"/>
      <c r="D136"/>
      <c r="E136" s="73" t="s">
        <v>787</v>
      </c>
      <c r="H136"/>
      <c r="I136"/>
      <c r="J136"/>
      <c r="K136"/>
      <c r="L136"/>
      <c r="M136"/>
      <c r="N136"/>
      <c r="O136"/>
      <c r="P136"/>
      <c r="Q136"/>
    </row>
    <row r="137" spans="1:17" x14ac:dyDescent="0.35">
      <c r="B137"/>
      <c r="C137"/>
      <c r="D137"/>
      <c r="E137" s="73" t="s">
        <v>788</v>
      </c>
      <c r="H137"/>
      <c r="I137"/>
      <c r="J137"/>
      <c r="K137"/>
      <c r="L137"/>
      <c r="M137"/>
      <c r="N137"/>
      <c r="O137"/>
      <c r="P137"/>
      <c r="Q137"/>
    </row>
    <row r="138" spans="1:17" x14ac:dyDescent="0.35">
      <c r="B138"/>
      <c r="C138"/>
      <c r="D138"/>
      <c r="E138" s="75" t="s">
        <v>789</v>
      </c>
      <c r="F138" s="76">
        <f>AVERAGE(B129,B130)</f>
        <v>0.44562500000000005</v>
      </c>
      <c r="H138"/>
      <c r="I138"/>
      <c r="J138"/>
      <c r="K138"/>
      <c r="L138"/>
      <c r="M138"/>
      <c r="N138"/>
      <c r="O138"/>
      <c r="P138"/>
      <c r="Q138"/>
    </row>
    <row r="139" spans="1:17" x14ac:dyDescent="0.35">
      <c r="B139"/>
      <c r="C139"/>
      <c r="D139"/>
      <c r="E139" s="75" t="s">
        <v>790</v>
      </c>
      <c r="F139" s="76">
        <f>AVERAGE(C129,C130)</f>
        <v>0.52374999999999994</v>
      </c>
      <c r="H139"/>
      <c r="I139"/>
      <c r="J139"/>
      <c r="K139"/>
      <c r="L139"/>
      <c r="M139"/>
      <c r="N139"/>
      <c r="O139"/>
      <c r="P139"/>
      <c r="Q139"/>
    </row>
    <row r="140" spans="1:17" x14ac:dyDescent="0.35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</row>
    <row r="141" spans="1:17" x14ac:dyDescent="0.3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</row>
    <row r="142" spans="1:17" x14ac:dyDescent="0.3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</row>
    <row r="143" spans="1:17" x14ac:dyDescent="0.3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</row>
    <row r="144" spans="1:17" x14ac:dyDescent="0.35">
      <c r="E144" s="73" t="s">
        <v>791</v>
      </c>
      <c r="J144"/>
      <c r="K144"/>
      <c r="L144"/>
      <c r="M144"/>
      <c r="N144"/>
      <c r="O144"/>
      <c r="P144"/>
      <c r="Q144"/>
    </row>
    <row r="145" spans="1:17" x14ac:dyDescent="0.35">
      <c r="A145" s="75" t="s">
        <v>710</v>
      </c>
      <c r="B145" s="75" t="s">
        <v>729</v>
      </c>
      <c r="C145" s="75" t="s">
        <v>730</v>
      </c>
      <c r="E145" s="75"/>
      <c r="F145" s="75" t="s">
        <v>792</v>
      </c>
      <c r="G145" s="75" t="s">
        <v>720</v>
      </c>
      <c r="H145"/>
      <c r="I145"/>
      <c r="J145"/>
      <c r="K145"/>
      <c r="L145"/>
      <c r="M145"/>
      <c r="N145"/>
      <c r="O145"/>
      <c r="P145"/>
      <c r="Q145"/>
    </row>
    <row r="146" spans="1:17" x14ac:dyDescent="0.35">
      <c r="A146" s="75" t="s">
        <v>792</v>
      </c>
      <c r="B146" s="76">
        <f>F138</f>
        <v>0.44562500000000005</v>
      </c>
      <c r="C146" s="76">
        <f>F139</f>
        <v>0.52374999999999994</v>
      </c>
      <c r="E146" s="75" t="s">
        <v>792</v>
      </c>
      <c r="F146" s="76">
        <v>0</v>
      </c>
      <c r="G146" s="76"/>
      <c r="H146"/>
      <c r="I146"/>
      <c r="J146"/>
      <c r="K146"/>
      <c r="L146"/>
      <c r="M146"/>
      <c r="N146"/>
      <c r="O146"/>
      <c r="P146"/>
      <c r="Q146"/>
    </row>
    <row r="147" spans="1:17" x14ac:dyDescent="0.35">
      <c r="A147" s="75" t="s">
        <v>720</v>
      </c>
      <c r="B147" s="76">
        <f>B131</f>
        <v>1</v>
      </c>
      <c r="C147" s="76">
        <f>C131</f>
        <v>1</v>
      </c>
      <c r="E147" s="75" t="s">
        <v>720</v>
      </c>
      <c r="F147" s="78">
        <f>SQRT(((B146-B147)^2)+((C146-C147)^2))</f>
        <v>0.73085272327945794</v>
      </c>
      <c r="G147" s="76">
        <v>0</v>
      </c>
      <c r="H147"/>
      <c r="I147"/>
      <c r="J147"/>
      <c r="K147"/>
      <c r="L147"/>
      <c r="M147"/>
      <c r="N147"/>
      <c r="O147"/>
      <c r="P147"/>
      <c r="Q147"/>
    </row>
    <row r="148" spans="1:17" x14ac:dyDescent="0.3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</row>
    <row r="149" spans="1:17" x14ac:dyDescent="0.3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</row>
    <row r="150" spans="1:17" x14ac:dyDescent="0.35">
      <c r="A150"/>
      <c r="B150"/>
      <c r="C150"/>
      <c r="D150"/>
      <c r="E150" s="75" t="s">
        <v>731</v>
      </c>
      <c r="F150" s="76">
        <f>F147</f>
        <v>0.73085272327945794</v>
      </c>
      <c r="H150"/>
      <c r="I150"/>
      <c r="J150"/>
      <c r="K150"/>
      <c r="L150"/>
      <c r="M150"/>
      <c r="N150"/>
      <c r="O150"/>
      <c r="P150"/>
      <c r="Q150"/>
    </row>
    <row r="151" spans="1:17" x14ac:dyDescent="0.35">
      <c r="B151"/>
      <c r="C151"/>
      <c r="D151"/>
      <c r="E151" s="73" t="s">
        <v>793</v>
      </c>
      <c r="H151"/>
      <c r="I151"/>
      <c r="J151"/>
      <c r="K151"/>
      <c r="L151"/>
      <c r="M151"/>
      <c r="N151"/>
      <c r="O151"/>
      <c r="P151"/>
      <c r="Q151"/>
    </row>
    <row r="152" spans="1:17" x14ac:dyDescent="0.35">
      <c r="B152"/>
      <c r="C152"/>
      <c r="D152"/>
      <c r="E152" s="73" t="s">
        <v>787</v>
      </c>
      <c r="H152"/>
      <c r="I152"/>
      <c r="J152"/>
      <c r="K152"/>
      <c r="L152"/>
      <c r="M152"/>
      <c r="N152"/>
      <c r="O152"/>
      <c r="P152"/>
      <c r="Q152"/>
    </row>
    <row r="153" spans="1:17" x14ac:dyDescent="0.3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</row>
    <row r="154" spans="1:17" x14ac:dyDescent="0.35">
      <c r="A154" s="73" t="s">
        <v>794</v>
      </c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</row>
    <row r="155" spans="1:17" x14ac:dyDescent="0.35">
      <c r="A155" s="73" t="s">
        <v>795</v>
      </c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</row>
    <row r="156" spans="1:17" x14ac:dyDescent="0.35">
      <c r="A156" s="73" t="s">
        <v>796</v>
      </c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</row>
    <row r="157" spans="1:17" x14ac:dyDescent="0.35">
      <c r="A157" s="73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</row>
    <row r="158" spans="1:17" x14ac:dyDescent="0.35">
      <c r="A158" s="73" t="s">
        <v>797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9453B-7C84-4779-B42B-9B9B90BA674B}">
  <dimension ref="A30:J82"/>
  <sheetViews>
    <sheetView topLeftCell="A19" workbookViewId="0">
      <selection activeCell="A82" sqref="A82"/>
    </sheetView>
  </sheetViews>
  <sheetFormatPr defaultColWidth="11.6328125" defaultRowHeight="14.5" x14ac:dyDescent="0.35"/>
  <cols>
    <col min="1" max="1" width="58.26953125" style="1" bestFit="1" customWidth="1"/>
    <col min="2" max="2" width="11.26953125" style="1" bestFit="1" customWidth="1"/>
    <col min="3" max="3" width="12.90625" style="1" bestFit="1" customWidth="1"/>
    <col min="4" max="4" width="10.81640625" style="1" customWidth="1"/>
    <col min="5" max="5" width="8.81640625" style="1" bestFit="1" customWidth="1"/>
    <col min="6" max="6" width="16.81640625" style="1" bestFit="1" customWidth="1"/>
    <col min="7" max="7" width="22.54296875" style="1" bestFit="1" customWidth="1"/>
    <col min="8" max="8" width="14.26953125" style="1" bestFit="1" customWidth="1"/>
    <col min="9" max="9" width="13.453125" style="1" customWidth="1"/>
    <col min="10" max="16384" width="11.6328125" style="1"/>
  </cols>
  <sheetData>
    <row r="30" spans="1:1" x14ac:dyDescent="0.35">
      <c r="A30" s="1" t="s">
        <v>681</v>
      </c>
    </row>
    <row r="31" spans="1:1" x14ac:dyDescent="0.35">
      <c r="A31" s="1" t="s">
        <v>682</v>
      </c>
    </row>
    <row r="33" spans="1:10" x14ac:dyDescent="0.35">
      <c r="A33" s="63"/>
      <c r="B33" s="63">
        <v>1</v>
      </c>
      <c r="C33" s="63">
        <v>2</v>
      </c>
      <c r="D33" s="63">
        <v>3</v>
      </c>
      <c r="E33" s="63">
        <v>4</v>
      </c>
      <c r="F33" s="63">
        <v>5</v>
      </c>
      <c r="G33" s="63">
        <v>6</v>
      </c>
      <c r="H33" s="63">
        <v>7</v>
      </c>
      <c r="I33" s="63">
        <v>8</v>
      </c>
      <c r="J33" s="63" t="s">
        <v>263</v>
      </c>
    </row>
    <row r="34" spans="1:10" x14ac:dyDescent="0.35">
      <c r="A34" s="63" t="s">
        <v>683</v>
      </c>
      <c r="B34" s="63" t="s">
        <v>684</v>
      </c>
      <c r="C34" s="63" t="s">
        <v>685</v>
      </c>
      <c r="D34" s="63" t="s">
        <v>686</v>
      </c>
      <c r="E34" s="63" t="s">
        <v>687</v>
      </c>
      <c r="F34" s="63" t="s">
        <v>688</v>
      </c>
      <c r="G34" s="63" t="s">
        <v>689</v>
      </c>
      <c r="H34" s="63" t="s">
        <v>690</v>
      </c>
      <c r="I34" s="63" t="s">
        <v>691</v>
      </c>
      <c r="J34" s="63"/>
    </row>
    <row r="35" spans="1:10" x14ac:dyDescent="0.35">
      <c r="A35" s="63">
        <v>1</v>
      </c>
      <c r="B35" s="63">
        <v>8</v>
      </c>
      <c r="C35" s="63">
        <v>7</v>
      </c>
      <c r="D35" s="63">
        <v>4</v>
      </c>
      <c r="E35" s="63">
        <v>2</v>
      </c>
      <c r="F35" s="63">
        <v>5</v>
      </c>
      <c r="G35" s="63">
        <v>3</v>
      </c>
      <c r="H35" s="63">
        <v>1</v>
      </c>
      <c r="I35" s="63">
        <v>6</v>
      </c>
      <c r="J35" s="63"/>
    </row>
    <row r="36" spans="1:10" x14ac:dyDescent="0.35">
      <c r="A36" s="63">
        <v>2</v>
      </c>
      <c r="B36" s="63">
        <v>8</v>
      </c>
      <c r="C36" s="63">
        <v>7</v>
      </c>
      <c r="D36" s="63">
        <v>3</v>
      </c>
      <c r="E36" s="63">
        <v>2</v>
      </c>
      <c r="F36" s="63">
        <v>4</v>
      </c>
      <c r="G36" s="63">
        <v>5</v>
      </c>
      <c r="H36" s="63">
        <v>1</v>
      </c>
      <c r="I36" s="63">
        <v>6</v>
      </c>
      <c r="J36" s="63"/>
    </row>
    <row r="37" spans="1:10" x14ac:dyDescent="0.35">
      <c r="A37" s="63">
        <v>3</v>
      </c>
      <c r="B37" s="63">
        <v>7</v>
      </c>
      <c r="C37" s="63">
        <v>8</v>
      </c>
      <c r="D37" s="63">
        <v>5</v>
      </c>
      <c r="E37" s="63">
        <v>1</v>
      </c>
      <c r="F37" s="63">
        <v>3</v>
      </c>
      <c r="G37" s="63">
        <v>4</v>
      </c>
      <c r="H37" s="63">
        <v>2</v>
      </c>
      <c r="I37" s="63">
        <v>6</v>
      </c>
      <c r="J37" s="63"/>
    </row>
    <row r="38" spans="1:10" x14ac:dyDescent="0.35">
      <c r="A38" s="63">
        <v>4</v>
      </c>
      <c r="B38" s="63">
        <v>7</v>
      </c>
      <c r="C38" s="63">
        <v>8</v>
      </c>
      <c r="D38" s="63">
        <v>3</v>
      </c>
      <c r="E38" s="63">
        <v>2</v>
      </c>
      <c r="F38" s="63">
        <v>4</v>
      </c>
      <c r="G38" s="63">
        <v>6</v>
      </c>
      <c r="H38" s="63">
        <v>1</v>
      </c>
      <c r="I38" s="63">
        <v>5</v>
      </c>
      <c r="J38" s="63"/>
    </row>
    <row r="39" spans="1:10" x14ac:dyDescent="0.35">
      <c r="A39" s="63">
        <v>5</v>
      </c>
      <c r="B39" s="63">
        <v>8</v>
      </c>
      <c r="C39" s="63">
        <v>7</v>
      </c>
      <c r="D39" s="63">
        <v>5</v>
      </c>
      <c r="E39" s="63">
        <v>1</v>
      </c>
      <c r="F39" s="63">
        <v>4</v>
      </c>
      <c r="G39" s="63">
        <v>6</v>
      </c>
      <c r="H39" s="63">
        <v>2</v>
      </c>
      <c r="I39" s="63">
        <v>3</v>
      </c>
      <c r="J39" s="63"/>
    </row>
    <row r="40" spans="1:10" x14ac:dyDescent="0.35">
      <c r="A40" s="63">
        <v>6</v>
      </c>
      <c r="B40" s="63">
        <v>8</v>
      </c>
      <c r="C40" s="63">
        <v>7</v>
      </c>
      <c r="D40" s="63">
        <v>4</v>
      </c>
      <c r="E40" s="63">
        <v>1</v>
      </c>
      <c r="F40" s="63">
        <v>5</v>
      </c>
      <c r="G40" s="63">
        <v>6</v>
      </c>
      <c r="H40" s="63">
        <v>2</v>
      </c>
      <c r="I40" s="63">
        <v>3</v>
      </c>
      <c r="J40" s="63"/>
    </row>
    <row r="41" spans="1:10" x14ac:dyDescent="0.35">
      <c r="A41" s="63">
        <v>7</v>
      </c>
      <c r="B41" s="63">
        <v>7</v>
      </c>
      <c r="C41" s="63">
        <v>8</v>
      </c>
      <c r="D41" s="63">
        <v>5</v>
      </c>
      <c r="E41" s="63">
        <v>2</v>
      </c>
      <c r="F41" s="63">
        <v>4</v>
      </c>
      <c r="G41" s="63">
        <v>6</v>
      </c>
      <c r="H41" s="63">
        <v>3</v>
      </c>
      <c r="I41" s="63">
        <v>1</v>
      </c>
      <c r="J41" s="63"/>
    </row>
    <row r="42" spans="1:10" x14ac:dyDescent="0.35">
      <c r="A42" s="63" t="s">
        <v>692</v>
      </c>
      <c r="B42" s="63">
        <f>SUM(B35:B41)</f>
        <v>53</v>
      </c>
      <c r="C42" s="63">
        <f t="shared" ref="C42:I42" si="0">SUM(C35:C41)</f>
        <v>52</v>
      </c>
      <c r="D42" s="63">
        <f t="shared" si="0"/>
        <v>29</v>
      </c>
      <c r="E42" s="63">
        <f t="shared" si="0"/>
        <v>11</v>
      </c>
      <c r="F42" s="63">
        <f t="shared" si="0"/>
        <v>29</v>
      </c>
      <c r="G42" s="63">
        <f t="shared" si="0"/>
        <v>36</v>
      </c>
      <c r="H42" s="63">
        <f t="shared" si="0"/>
        <v>12</v>
      </c>
      <c r="I42" s="63">
        <f t="shared" si="0"/>
        <v>30</v>
      </c>
      <c r="J42" s="63">
        <f>SUM(B42:I42)</f>
        <v>252</v>
      </c>
    </row>
    <row r="43" spans="1:10" x14ac:dyDescent="0.35">
      <c r="A43" s="63" t="s">
        <v>693</v>
      </c>
      <c r="B43" s="71">
        <f>AVERAGE(B42:I42)</f>
        <v>31.5</v>
      </c>
      <c r="C43" s="71"/>
      <c r="D43" s="71"/>
      <c r="E43" s="71"/>
      <c r="F43" s="71"/>
      <c r="G43" s="71"/>
      <c r="H43" s="71"/>
      <c r="I43" s="71"/>
      <c r="J43" s="63"/>
    </row>
    <row r="44" spans="1:10" x14ac:dyDescent="0.35">
      <c r="A44" s="63" t="s">
        <v>694</v>
      </c>
      <c r="B44" s="63">
        <f>(B42-$B$43)^2</f>
        <v>462.25</v>
      </c>
      <c r="C44" s="63">
        <f t="shared" ref="C44:I44" si="1">(C42-$B$43)^2</f>
        <v>420.25</v>
      </c>
      <c r="D44" s="63">
        <f t="shared" si="1"/>
        <v>6.25</v>
      </c>
      <c r="E44" s="63">
        <f t="shared" si="1"/>
        <v>420.25</v>
      </c>
      <c r="F44" s="63">
        <f t="shared" si="1"/>
        <v>6.25</v>
      </c>
      <c r="G44" s="63">
        <f t="shared" si="1"/>
        <v>20.25</v>
      </c>
      <c r="H44" s="63">
        <f t="shared" si="1"/>
        <v>380.25</v>
      </c>
      <c r="I44" s="63">
        <f t="shared" si="1"/>
        <v>2.25</v>
      </c>
      <c r="J44" s="63">
        <f>SUM(B44:I44)</f>
        <v>1718</v>
      </c>
    </row>
    <row r="45" spans="1:10" x14ac:dyDescent="0.35">
      <c r="A45" s="63" t="s">
        <v>695</v>
      </c>
      <c r="B45" s="72">
        <f>(12*J44)/(A41^2*(I33^3-I33))</f>
        <v>0.83479105928085517</v>
      </c>
      <c r="C45" s="72"/>
      <c r="D45" s="72"/>
      <c r="E45" s="72"/>
      <c r="F45" s="72"/>
      <c r="G45" s="72"/>
      <c r="H45" s="72"/>
      <c r="I45" s="72"/>
      <c r="J45" s="69"/>
    </row>
    <row r="47" spans="1:10" x14ac:dyDescent="0.35">
      <c r="A47" s="63" t="s">
        <v>696</v>
      </c>
      <c r="B47" s="69">
        <f>B45*(A41-1)*I33</f>
        <v>40.069970845481052</v>
      </c>
    </row>
    <row r="48" spans="1:10" x14ac:dyDescent="0.35">
      <c r="A48" s="63" t="s">
        <v>697</v>
      </c>
      <c r="B48" s="69">
        <f>_xlfn.CHISQ.INV(0.95,I33-1)</f>
        <v>14.067140449340165</v>
      </c>
    </row>
    <row r="49" spans="1:3" x14ac:dyDescent="0.35">
      <c r="A49" s="14" t="s">
        <v>698</v>
      </c>
    </row>
    <row r="54" spans="1:3" x14ac:dyDescent="0.35">
      <c r="A54" s="66"/>
      <c r="B54" s="63">
        <v>1</v>
      </c>
      <c r="C54" s="63">
        <v>2</v>
      </c>
    </row>
    <row r="55" spans="1:3" x14ac:dyDescent="0.35">
      <c r="A55" s="64" t="s">
        <v>684</v>
      </c>
      <c r="B55" s="63">
        <v>8</v>
      </c>
      <c r="C55" s="63">
        <v>5</v>
      </c>
    </row>
    <row r="56" spans="1:3" x14ac:dyDescent="0.35">
      <c r="A56" s="64" t="s">
        <v>685</v>
      </c>
      <c r="B56" s="63">
        <v>7</v>
      </c>
      <c r="C56" s="63">
        <v>7</v>
      </c>
    </row>
    <row r="57" spans="1:3" x14ac:dyDescent="0.35">
      <c r="A57" s="64" t="s">
        <v>686</v>
      </c>
      <c r="B57" s="63">
        <v>4</v>
      </c>
      <c r="C57" s="63">
        <v>4</v>
      </c>
    </row>
    <row r="58" spans="1:3" x14ac:dyDescent="0.35">
      <c r="A58" s="64" t="s">
        <v>687</v>
      </c>
      <c r="B58" s="63">
        <v>2</v>
      </c>
      <c r="C58" s="63">
        <v>1</v>
      </c>
    </row>
    <row r="59" spans="1:3" x14ac:dyDescent="0.35">
      <c r="A59" s="64" t="s">
        <v>688</v>
      </c>
      <c r="B59" s="63">
        <v>5</v>
      </c>
      <c r="C59" s="63">
        <v>5</v>
      </c>
    </row>
    <row r="60" spans="1:3" x14ac:dyDescent="0.35">
      <c r="A60" s="64" t="s">
        <v>689</v>
      </c>
      <c r="B60" s="63">
        <v>3</v>
      </c>
      <c r="C60" s="63">
        <v>6</v>
      </c>
    </row>
    <row r="61" spans="1:3" x14ac:dyDescent="0.35">
      <c r="A61" s="64" t="s">
        <v>690</v>
      </c>
      <c r="B61" s="63">
        <v>1</v>
      </c>
      <c r="C61" s="63">
        <v>2</v>
      </c>
    </row>
    <row r="62" spans="1:3" x14ac:dyDescent="0.35">
      <c r="A62" s="64" t="s">
        <v>691</v>
      </c>
      <c r="B62" s="63">
        <v>6</v>
      </c>
      <c r="C62" s="63">
        <v>3</v>
      </c>
    </row>
    <row r="66" spans="1:6" x14ac:dyDescent="0.35">
      <c r="A66" s="66" t="s">
        <v>699</v>
      </c>
      <c r="B66" s="66">
        <f>MAX(B55:C62)</f>
        <v>8</v>
      </c>
    </row>
    <row r="67" spans="1:6" x14ac:dyDescent="0.35">
      <c r="A67" s="66" t="s">
        <v>700</v>
      </c>
      <c r="B67" s="66">
        <f>MIN(B55:C62)</f>
        <v>1</v>
      </c>
    </row>
    <row r="68" spans="1:6" x14ac:dyDescent="0.35">
      <c r="A68" s="66" t="s">
        <v>78</v>
      </c>
      <c r="B68" s="66">
        <f>COUNT(B55:B62)</f>
        <v>8</v>
      </c>
    </row>
    <row r="69" spans="1:6" x14ac:dyDescent="0.35">
      <c r="A69" s="66" t="s">
        <v>369</v>
      </c>
      <c r="B69" s="70">
        <f>(B66-B67)/(1+3.3*LOG10(B68))</f>
        <v>1.758706937243379</v>
      </c>
    </row>
    <row r="72" spans="1:6" x14ac:dyDescent="0.35">
      <c r="A72" s="63" t="s">
        <v>376</v>
      </c>
      <c r="B72" s="63" t="s">
        <v>701</v>
      </c>
      <c r="C72" s="63" t="s">
        <v>702</v>
      </c>
      <c r="D72" s="63" t="s">
        <v>703</v>
      </c>
      <c r="E72" s="63" t="s">
        <v>704</v>
      </c>
      <c r="F72" s="63" t="s">
        <v>705</v>
      </c>
    </row>
    <row r="73" spans="1:6" x14ac:dyDescent="0.35">
      <c r="A73" s="63">
        <v>1</v>
      </c>
      <c r="B73" s="69">
        <f>B67</f>
        <v>1</v>
      </c>
      <c r="C73" s="69">
        <f>B73+B69</f>
        <v>2.758706937243379</v>
      </c>
      <c r="D73" s="63">
        <f>COUNTIFS($B$55:$B$62,"&gt;="&amp;B73,$B$55:$B$62,"&lt;"&amp;C73)</f>
        <v>2</v>
      </c>
      <c r="E73" s="63">
        <f>COUNTIFS($C$55:$C$62,"&gt;="&amp;B73,$C$55:$C$62,"&lt;"&amp;C73)</f>
        <v>2</v>
      </c>
      <c r="F73" s="63">
        <f>((D73-E73)^2)/E73</f>
        <v>0</v>
      </c>
    </row>
    <row r="74" spans="1:6" x14ac:dyDescent="0.35">
      <c r="A74" s="63">
        <v>2</v>
      </c>
      <c r="B74" s="69">
        <f>C73</f>
        <v>2.758706937243379</v>
      </c>
      <c r="C74" s="69">
        <f>B74+$B$69</f>
        <v>4.517413874486758</v>
      </c>
      <c r="D74" s="63">
        <f t="shared" ref="D74:D75" si="2">COUNTIFS($B$55:$B$62,"&gt;="&amp;B74,$B$55:$B$62,"&lt;"&amp;C74)</f>
        <v>2</v>
      </c>
      <c r="E74" s="63">
        <f t="shared" ref="E74:E75" si="3">COUNTIFS($C$55:$C$62,"&gt;="&amp;B74,$C$55:$C$62,"&lt;"&amp;C74)</f>
        <v>2</v>
      </c>
      <c r="F74" s="63">
        <f t="shared" ref="F74:F76" si="4">((D74-E74)^2)/E74</f>
        <v>0</v>
      </c>
    </row>
    <row r="75" spans="1:6" x14ac:dyDescent="0.35">
      <c r="A75" s="63">
        <v>3</v>
      </c>
      <c r="B75" s="69">
        <f t="shared" ref="B75:B76" si="5">C74</f>
        <v>4.517413874486758</v>
      </c>
      <c r="C75" s="69">
        <f t="shared" ref="C75" si="6">B75+$B$69</f>
        <v>6.276120811730137</v>
      </c>
      <c r="D75" s="63">
        <f t="shared" si="2"/>
        <v>2</v>
      </c>
      <c r="E75" s="63">
        <f t="shared" si="3"/>
        <v>3</v>
      </c>
      <c r="F75" s="63">
        <f t="shared" si="4"/>
        <v>0.33333333333333331</v>
      </c>
    </row>
    <row r="76" spans="1:6" x14ac:dyDescent="0.35">
      <c r="A76" s="63">
        <v>4</v>
      </c>
      <c r="B76" s="69">
        <f t="shared" si="5"/>
        <v>6.276120811730137</v>
      </c>
      <c r="C76" s="69">
        <f>B66</f>
        <v>8</v>
      </c>
      <c r="D76" s="63">
        <f>COUNTIFS($B$55:$B$62,"&gt;="&amp;B76,$B$55:$B$62,"&lt;="&amp;C76)</f>
        <v>2</v>
      </c>
      <c r="E76" s="63">
        <f>COUNTIFS($C$55:$C$62,"&gt;="&amp;B76,$C$55:$C$62,"&lt;="&amp;C76)</f>
        <v>1</v>
      </c>
      <c r="F76" s="63">
        <f t="shared" si="4"/>
        <v>1</v>
      </c>
    </row>
    <row r="77" spans="1:6" x14ac:dyDescent="0.35">
      <c r="B77" s="32"/>
      <c r="C77" s="32"/>
    </row>
    <row r="79" spans="1:6" x14ac:dyDescent="0.35">
      <c r="A79" s="63" t="s">
        <v>706</v>
      </c>
      <c r="B79" s="69">
        <f>SUM(F73:F76)</f>
        <v>1.3333333333333333</v>
      </c>
    </row>
    <row r="80" spans="1:6" x14ac:dyDescent="0.35">
      <c r="A80" s="63" t="s">
        <v>707</v>
      </c>
      <c r="B80" s="69">
        <f>_xlfn.CHISQ.INV(0.95,A76-1)</f>
        <v>7.8147279032511774</v>
      </c>
    </row>
    <row r="82" spans="1:1" x14ac:dyDescent="0.35">
      <c r="A82" s="1" t="s">
        <v>708</v>
      </c>
    </row>
  </sheetData>
  <mergeCells count="2">
    <mergeCell ref="B43:I43"/>
    <mergeCell ref="B45:I4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2DE18-E01B-4273-84A1-951C0C96AADC}">
  <dimension ref="A1:I27"/>
  <sheetViews>
    <sheetView workbookViewId="0">
      <selection activeCell="B13" sqref="B13"/>
    </sheetView>
  </sheetViews>
  <sheetFormatPr defaultRowHeight="14.5" x14ac:dyDescent="0.35"/>
  <cols>
    <col min="1" max="1" width="16.1796875" style="1" customWidth="1"/>
    <col min="2" max="16384" width="8.7265625" style="1"/>
  </cols>
  <sheetData>
    <row r="1" spans="1:9" x14ac:dyDescent="0.35">
      <c r="A1" s="63" t="s">
        <v>647</v>
      </c>
      <c r="B1" s="71" t="s">
        <v>648</v>
      </c>
      <c r="C1" s="71"/>
      <c r="D1" s="71" t="s">
        <v>649</v>
      </c>
      <c r="E1" s="71"/>
      <c r="F1" s="71" t="s">
        <v>650</v>
      </c>
      <c r="G1" s="71"/>
      <c r="H1" s="71" t="s">
        <v>651</v>
      </c>
      <c r="I1" s="71"/>
    </row>
    <row r="2" spans="1:9" x14ac:dyDescent="0.35">
      <c r="A2" s="63"/>
      <c r="B2" s="63" t="s">
        <v>652</v>
      </c>
      <c r="C2" s="63" t="s">
        <v>653</v>
      </c>
      <c r="D2" s="63" t="s">
        <v>654</v>
      </c>
      <c r="E2" s="63" t="s">
        <v>655</v>
      </c>
      <c r="F2" s="63" t="s">
        <v>656</v>
      </c>
      <c r="G2" s="63" t="s">
        <v>657</v>
      </c>
      <c r="H2" s="63" t="s">
        <v>658</v>
      </c>
      <c r="I2" s="63" t="s">
        <v>659</v>
      </c>
    </row>
    <row r="3" spans="1:9" x14ac:dyDescent="0.35">
      <c r="A3" s="63">
        <v>1</v>
      </c>
      <c r="B3" s="63">
        <v>500</v>
      </c>
      <c r="C3" s="63">
        <v>550</v>
      </c>
      <c r="D3" s="63">
        <v>300</v>
      </c>
      <c r="E3" s="63">
        <v>250</v>
      </c>
      <c r="F3" s="63">
        <v>100</v>
      </c>
      <c r="G3" s="63">
        <v>120</v>
      </c>
      <c r="H3" s="63">
        <v>300</v>
      </c>
      <c r="I3" s="63">
        <v>310</v>
      </c>
    </row>
    <row r="4" spans="1:9" x14ac:dyDescent="0.35">
      <c r="A4" s="63">
        <v>2</v>
      </c>
      <c r="B4" s="63">
        <v>720</v>
      </c>
      <c r="C4" s="63">
        <v>700</v>
      </c>
      <c r="D4" s="63">
        <v>100</v>
      </c>
      <c r="E4" s="63">
        <v>120</v>
      </c>
      <c r="F4" s="63">
        <v>75</v>
      </c>
      <c r="G4" s="63">
        <v>80</v>
      </c>
      <c r="H4" s="63">
        <v>225</v>
      </c>
      <c r="I4" s="63">
        <v>200</v>
      </c>
    </row>
    <row r="5" spans="1:9" x14ac:dyDescent="0.35">
      <c r="A5" s="63">
        <v>3</v>
      </c>
      <c r="B5" s="63">
        <v>350</v>
      </c>
      <c r="C5" s="63">
        <v>370</v>
      </c>
      <c r="D5" s="63">
        <v>25</v>
      </c>
      <c r="E5" s="63">
        <v>25</v>
      </c>
      <c r="F5" s="63">
        <v>100</v>
      </c>
      <c r="G5" s="63">
        <v>120</v>
      </c>
      <c r="H5" s="63">
        <v>115</v>
      </c>
      <c r="I5" s="63">
        <v>110</v>
      </c>
    </row>
    <row r="6" spans="1:9" x14ac:dyDescent="0.35">
      <c r="A6" s="63">
        <v>4</v>
      </c>
      <c r="B6" s="63">
        <v>1250</v>
      </c>
      <c r="C6" s="63">
        <v>1500</v>
      </c>
      <c r="D6" s="63">
        <v>70</v>
      </c>
      <c r="E6" s="63">
        <v>60</v>
      </c>
      <c r="F6" s="63">
        <v>45</v>
      </c>
      <c r="G6" s="63">
        <v>15</v>
      </c>
      <c r="H6" s="63">
        <v>780</v>
      </c>
      <c r="I6" s="63">
        <v>800</v>
      </c>
    </row>
    <row r="7" spans="1:9" x14ac:dyDescent="0.35">
      <c r="A7" s="63">
        <v>5</v>
      </c>
      <c r="B7" s="63">
        <v>470</v>
      </c>
      <c r="C7" s="63">
        <v>500</v>
      </c>
      <c r="D7" s="63">
        <v>890</v>
      </c>
      <c r="E7" s="63">
        <v>700</v>
      </c>
      <c r="F7" s="63">
        <v>25</v>
      </c>
      <c r="G7" s="63">
        <v>30</v>
      </c>
      <c r="H7" s="63">
        <v>300</v>
      </c>
      <c r="I7" s="63">
        <v>280</v>
      </c>
    </row>
    <row r="8" spans="1:9" x14ac:dyDescent="0.35">
      <c r="A8" s="63">
        <v>6</v>
      </c>
      <c r="B8" s="63">
        <v>890</v>
      </c>
      <c r="C8" s="63">
        <v>975</v>
      </c>
      <c r="D8" s="63">
        <v>75</v>
      </c>
      <c r="E8" s="63">
        <v>62</v>
      </c>
      <c r="F8" s="63">
        <v>14</v>
      </c>
      <c r="G8" s="63">
        <v>26</v>
      </c>
      <c r="H8" s="63">
        <v>125</v>
      </c>
      <c r="I8" s="63">
        <v>135</v>
      </c>
    </row>
    <row r="9" spans="1:9" x14ac:dyDescent="0.35">
      <c r="A9" s="63">
        <v>7</v>
      </c>
      <c r="B9" s="63">
        <v>1450</v>
      </c>
      <c r="C9" s="63">
        <v>1480</v>
      </c>
      <c r="D9" s="63">
        <v>68</v>
      </c>
      <c r="E9" s="63">
        <v>81</v>
      </c>
      <c r="F9" s="63">
        <v>45</v>
      </c>
      <c r="G9" s="63">
        <v>50</v>
      </c>
      <c r="H9" s="63">
        <v>800</v>
      </c>
      <c r="I9" s="63">
        <v>875</v>
      </c>
    </row>
    <row r="12" spans="1:9" x14ac:dyDescent="0.35">
      <c r="A12" s="1" t="s">
        <v>660</v>
      </c>
    </row>
    <row r="13" spans="1:9" x14ac:dyDescent="0.35">
      <c r="A13" s="66" t="s">
        <v>661</v>
      </c>
      <c r="B13" s="70">
        <f>(SUMPRODUCT(C3:C9,E3:E9)/(SUM(E3:E9)))/(SUMPRODUCT(B3:B9,D3:D9)/SUM(D3:D9))</f>
        <v>1.1108634041027239</v>
      </c>
      <c r="D13" s="1" t="s">
        <v>662</v>
      </c>
    </row>
    <row r="14" spans="1:9" x14ac:dyDescent="0.35">
      <c r="A14" s="66" t="s">
        <v>663</v>
      </c>
      <c r="B14" s="70">
        <f>(SUMPRODUCT(C3:C9,E3:E9)/(SUM(E3:E9)))/(SUMPRODUCT(B3:B9,E3:E9)/SUM(E3:E9))</f>
        <v>1.0681493009362686</v>
      </c>
      <c r="D14" s="1" t="s">
        <v>664</v>
      </c>
    </row>
    <row r="15" spans="1:9" x14ac:dyDescent="0.35">
      <c r="A15" s="66" t="s">
        <v>665</v>
      </c>
      <c r="B15" s="70">
        <f>(SUMPRODUCT(B3:B9,E3:E9)/(SUM(E3:E9)))/(SUMPRODUCT(B3:B9,D3:D9)/SUM(D3:D9))</f>
        <v>1.0399888883782584</v>
      </c>
      <c r="D15" s="1" t="s">
        <v>666</v>
      </c>
    </row>
    <row r="16" spans="1:9" x14ac:dyDescent="0.35">
      <c r="B16" s="32"/>
    </row>
    <row r="17" spans="1:4" x14ac:dyDescent="0.35">
      <c r="B17" s="32"/>
    </row>
    <row r="18" spans="1:4" x14ac:dyDescent="0.35">
      <c r="A18" s="1" t="s">
        <v>667</v>
      </c>
      <c r="B18" s="32"/>
    </row>
    <row r="19" spans="1:4" x14ac:dyDescent="0.35">
      <c r="A19" s="66" t="s">
        <v>668</v>
      </c>
      <c r="B19" s="70">
        <f>(SUMPRODUCT(G3:G9,E3:E9)/(SUM(E3:E9)))/(SUMPRODUCT(F3:F9,D3:D9)/SUM(D3:D9))</f>
        <v>1.1882377168464526</v>
      </c>
      <c r="D19" s="1" t="s">
        <v>669</v>
      </c>
    </row>
    <row r="20" spans="1:4" x14ac:dyDescent="0.35">
      <c r="A20" s="66" t="s">
        <v>670</v>
      </c>
      <c r="B20" s="70">
        <f>(SUMPRODUCT(G3:G9,E3:E9)/(SUM(E3:E9)))/(SUMPRODUCT(F3:F9,E3:E9)/SUM(E3:E9))</f>
        <v>1.1461944358224558</v>
      </c>
      <c r="D20" s="1" t="s">
        <v>671</v>
      </c>
    </row>
    <row r="21" spans="1:4" x14ac:dyDescent="0.35">
      <c r="A21" s="66" t="s">
        <v>672</v>
      </c>
      <c r="B21" s="70">
        <f>B19/B20</f>
        <v>1.0366807582640449</v>
      </c>
      <c r="D21" s="1" t="s">
        <v>673</v>
      </c>
    </row>
    <row r="22" spans="1:4" x14ac:dyDescent="0.35">
      <c r="B22" s="32"/>
    </row>
    <row r="23" spans="1:4" x14ac:dyDescent="0.35">
      <c r="B23" s="32"/>
    </row>
    <row r="24" spans="1:4" x14ac:dyDescent="0.35">
      <c r="A24" s="1" t="s">
        <v>674</v>
      </c>
      <c r="B24" s="32"/>
    </row>
    <row r="25" spans="1:4" x14ac:dyDescent="0.35">
      <c r="A25" s="66" t="s">
        <v>675</v>
      </c>
      <c r="B25" s="70">
        <f>(SUMPRODUCT(I3:I9,E3:E9)/(SUM(E3:E9)))/(SUMPRODUCT(H3:H9,D3:D9)/SUM(D3:D9))</f>
        <v>1.004983064694176</v>
      </c>
      <c r="D25" s="1" t="s">
        <v>676</v>
      </c>
    </row>
    <row r="26" spans="1:4" x14ac:dyDescent="0.35">
      <c r="A26" s="66" t="s">
        <v>677</v>
      </c>
      <c r="B26" s="70">
        <f>(SUMPRODUCT(I3:I9,E3:E9)/(SUM(E3:E9)))/(SUMPRODUCT(H3:H9,E3:E9)/SUM(E3:E9))</f>
        <v>0.98450112268984979</v>
      </c>
      <c r="D26" s="1" t="s">
        <v>678</v>
      </c>
    </row>
    <row r="27" spans="1:4" x14ac:dyDescent="0.35">
      <c r="A27" s="66" t="s">
        <v>679</v>
      </c>
      <c r="B27" s="70">
        <f>B25/B26</f>
        <v>1.0208043866403784</v>
      </c>
      <c r="D27" s="1" t="s">
        <v>680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1E289-7666-48C7-A41A-6E92CCC3D27B}">
  <dimension ref="A1:F129"/>
  <sheetViews>
    <sheetView workbookViewId="0">
      <selection activeCell="I90" sqref="I90"/>
    </sheetView>
  </sheetViews>
  <sheetFormatPr defaultRowHeight="14.5" x14ac:dyDescent="0.35"/>
  <cols>
    <col min="1" max="1" width="26.90625" style="1" customWidth="1"/>
    <col min="2" max="2" width="19.26953125" style="1" customWidth="1"/>
    <col min="3" max="3" width="8.7265625" style="1"/>
    <col min="4" max="4" width="11.90625" style="1" customWidth="1"/>
    <col min="5" max="5" width="9.54296875" style="1" customWidth="1"/>
    <col min="6" max="6" width="12.36328125" style="1" customWidth="1"/>
    <col min="7" max="16384" width="8.7265625" style="1"/>
  </cols>
  <sheetData>
    <row r="1" spans="1:2" x14ac:dyDescent="0.35">
      <c r="A1" s="1" t="s">
        <v>578</v>
      </c>
    </row>
    <row r="2" spans="1:2" x14ac:dyDescent="0.35">
      <c r="A2" s="1" t="s">
        <v>579</v>
      </c>
    </row>
    <row r="3" spans="1:2" x14ac:dyDescent="0.35">
      <c r="A3" s="1" t="s">
        <v>580</v>
      </c>
    </row>
    <row r="4" spans="1:2" x14ac:dyDescent="0.35">
      <c r="A4" s="63" t="s">
        <v>581</v>
      </c>
      <c r="B4" s="63" t="s">
        <v>582</v>
      </c>
    </row>
    <row r="5" spans="1:2" x14ac:dyDescent="0.35">
      <c r="A5" s="64" t="s">
        <v>583</v>
      </c>
      <c r="B5" s="65">
        <v>2159.1</v>
      </c>
    </row>
    <row r="6" spans="1:2" x14ac:dyDescent="0.35">
      <c r="A6" s="64" t="s">
        <v>584</v>
      </c>
      <c r="B6" s="65">
        <v>1245.9000000000001</v>
      </c>
    </row>
    <row r="7" spans="1:2" x14ac:dyDescent="0.35">
      <c r="A7" s="64" t="s">
        <v>585</v>
      </c>
      <c r="B7" s="65">
        <v>1012</v>
      </c>
    </row>
    <row r="8" spans="1:2" x14ac:dyDescent="0.35">
      <c r="A8" s="64" t="s">
        <v>586</v>
      </c>
      <c r="B8" s="65">
        <v>775.5</v>
      </c>
    </row>
    <row r="9" spans="1:2" x14ac:dyDescent="0.35">
      <c r="A9" s="64" t="s">
        <v>587</v>
      </c>
      <c r="B9" s="65">
        <v>513.20000000000005</v>
      </c>
    </row>
    <row r="10" spans="1:2" x14ac:dyDescent="0.35">
      <c r="A10" s="64" t="s">
        <v>588</v>
      </c>
      <c r="B10" s="65">
        <v>512.9</v>
      </c>
    </row>
    <row r="11" spans="1:2" x14ac:dyDescent="0.35">
      <c r="A11" s="64" t="s">
        <v>589</v>
      </c>
      <c r="B11" s="65">
        <v>451.6</v>
      </c>
    </row>
    <row r="12" spans="1:2" x14ac:dyDescent="0.35">
      <c r="A12" s="64" t="s">
        <v>590</v>
      </c>
      <c r="B12" s="65">
        <v>371.7</v>
      </c>
    </row>
    <row r="13" spans="1:2" x14ac:dyDescent="0.35">
      <c r="A13" s="64" t="s">
        <v>591</v>
      </c>
      <c r="B13" s="65">
        <v>354.7</v>
      </c>
    </row>
    <row r="14" spans="1:2" x14ac:dyDescent="0.35">
      <c r="A14" s="64" t="s">
        <v>592</v>
      </c>
      <c r="B14" s="65">
        <v>327.39999999999998</v>
      </c>
    </row>
    <row r="15" spans="1:2" x14ac:dyDescent="0.35">
      <c r="A15" s="64" t="s">
        <v>593</v>
      </c>
      <c r="B15" s="65">
        <v>299.60000000000002</v>
      </c>
    </row>
    <row r="16" spans="1:2" x14ac:dyDescent="0.35">
      <c r="A16" s="64" t="s">
        <v>594</v>
      </c>
      <c r="B16" s="65">
        <v>289.89999999999998</v>
      </c>
    </row>
    <row r="17" spans="1:2" x14ac:dyDescent="0.35">
      <c r="A17" s="64" t="s">
        <v>595</v>
      </c>
      <c r="B17" s="65">
        <v>260.3</v>
      </c>
    </row>
    <row r="18" spans="1:2" x14ac:dyDescent="0.35">
      <c r="A18" s="64" t="s">
        <v>596</v>
      </c>
      <c r="B18" s="65">
        <v>259.60000000000002</v>
      </c>
    </row>
    <row r="19" spans="1:2" x14ac:dyDescent="0.35">
      <c r="A19" s="64" t="s">
        <v>597</v>
      </c>
      <c r="B19" s="65">
        <v>243.5</v>
      </c>
    </row>
    <row r="20" spans="1:2" x14ac:dyDescent="0.35">
      <c r="A20" s="64" t="s">
        <v>598</v>
      </c>
      <c r="B20" s="65">
        <v>229.6</v>
      </c>
    </row>
    <row r="21" spans="1:2" x14ac:dyDescent="0.35">
      <c r="A21" s="64" t="s">
        <v>599</v>
      </c>
      <c r="B21" s="65">
        <v>210.6</v>
      </c>
    </row>
    <row r="22" spans="1:2" x14ac:dyDescent="0.35">
      <c r="A22" s="64" t="s">
        <v>600</v>
      </c>
      <c r="B22" s="65">
        <v>200.5</v>
      </c>
    </row>
    <row r="23" spans="1:2" x14ac:dyDescent="0.35">
      <c r="A23" s="64" t="s">
        <v>601</v>
      </c>
      <c r="B23" s="65">
        <v>198.9</v>
      </c>
    </row>
    <row r="24" spans="1:2" x14ac:dyDescent="0.35">
      <c r="A24" s="64" t="s">
        <v>602</v>
      </c>
      <c r="B24" s="65">
        <v>167.4</v>
      </c>
    </row>
    <row r="25" spans="1:2" x14ac:dyDescent="0.35">
      <c r="A25" s="64" t="s">
        <v>603</v>
      </c>
      <c r="B25" s="65">
        <v>157.80000000000001</v>
      </c>
    </row>
    <row r="26" spans="1:2" x14ac:dyDescent="0.35">
      <c r="A26" s="64" t="s">
        <v>604</v>
      </c>
      <c r="B26" s="65">
        <v>129.69999999999999</v>
      </c>
    </row>
    <row r="29" spans="1:2" x14ac:dyDescent="0.35">
      <c r="A29" s="1" t="s">
        <v>605</v>
      </c>
    </row>
    <row r="30" spans="1:2" x14ac:dyDescent="0.35">
      <c r="A30" s="66" t="s">
        <v>606</v>
      </c>
      <c r="B30" s="67">
        <f>AVERAGE(B5:B26)</f>
        <v>471.42727272727274</v>
      </c>
    </row>
    <row r="31" spans="1:2" x14ac:dyDescent="0.35">
      <c r="A31" s="66" t="s">
        <v>607</v>
      </c>
      <c r="B31" s="67">
        <f>_xlfn.STDEV.S(B5:B26)</f>
        <v>471.39753437120925</v>
      </c>
    </row>
    <row r="32" spans="1:2" x14ac:dyDescent="0.35">
      <c r="A32" s="66" t="s">
        <v>365</v>
      </c>
      <c r="B32" s="67">
        <f>MAX(B5:B26)</f>
        <v>2159.1</v>
      </c>
    </row>
    <row r="33" spans="1:4" x14ac:dyDescent="0.35">
      <c r="A33" s="66" t="s">
        <v>366</v>
      </c>
      <c r="B33" s="67">
        <f>MIN(B5:B26)</f>
        <v>129.69999999999999</v>
      </c>
    </row>
    <row r="34" spans="1:4" x14ac:dyDescent="0.35">
      <c r="A34" s="66" t="s">
        <v>78</v>
      </c>
      <c r="B34" s="66">
        <f>COUNT(B5:B26)</f>
        <v>22</v>
      </c>
    </row>
    <row r="35" spans="1:4" x14ac:dyDescent="0.35">
      <c r="A35" s="66" t="s">
        <v>608</v>
      </c>
      <c r="B35" s="67">
        <f>ABS(B32-B30)/B31</f>
        <v>3.580147548976663</v>
      </c>
      <c r="C35" s="1" t="s">
        <v>609</v>
      </c>
      <c r="D35" s="1" t="s">
        <v>610</v>
      </c>
    </row>
    <row r="36" spans="1:4" x14ac:dyDescent="0.35">
      <c r="A36" s="66" t="s">
        <v>611</v>
      </c>
      <c r="B36" s="67">
        <f>ABS(B33-B30)/B31</f>
        <v>0.72492375927060815</v>
      </c>
      <c r="C36" s="1" t="s">
        <v>612</v>
      </c>
      <c r="D36" s="1" t="s">
        <v>613</v>
      </c>
    </row>
    <row r="37" spans="1:4" x14ac:dyDescent="0.35">
      <c r="A37" s="66" t="s">
        <v>614</v>
      </c>
      <c r="B37" s="66">
        <v>2.66</v>
      </c>
      <c r="D37" s="1" t="s">
        <v>615</v>
      </c>
    </row>
    <row r="40" spans="1:4" x14ac:dyDescent="0.35">
      <c r="A40" s="1" t="s">
        <v>616</v>
      </c>
    </row>
    <row r="41" spans="1:4" x14ac:dyDescent="0.35">
      <c r="A41" s="66" t="s">
        <v>606</v>
      </c>
      <c r="B41" s="67">
        <f>AVERAGE(B6:B26)</f>
        <v>391.06190476190483</v>
      </c>
    </row>
    <row r="42" spans="1:4" x14ac:dyDescent="0.35">
      <c r="A42" s="66" t="s">
        <v>607</v>
      </c>
      <c r="B42" s="67">
        <f>_xlfn.STDEV.S(B6:B26)</f>
        <v>290.05677629765944</v>
      </c>
    </row>
    <row r="43" spans="1:4" x14ac:dyDescent="0.35">
      <c r="A43" s="66" t="s">
        <v>365</v>
      </c>
      <c r="B43" s="67">
        <f>MAX(B6:B26)</f>
        <v>1245.9000000000001</v>
      </c>
    </row>
    <row r="44" spans="1:4" x14ac:dyDescent="0.35">
      <c r="A44" s="66" t="s">
        <v>366</v>
      </c>
      <c r="B44" s="67">
        <f>MIN(B6:B26)</f>
        <v>129.69999999999999</v>
      </c>
    </row>
    <row r="45" spans="1:4" x14ac:dyDescent="0.35">
      <c r="A45" s="66" t="s">
        <v>78</v>
      </c>
      <c r="B45" s="66">
        <f>21</f>
        <v>21</v>
      </c>
    </row>
    <row r="46" spans="1:4" x14ac:dyDescent="0.35">
      <c r="A46" s="66" t="s">
        <v>608</v>
      </c>
      <c r="B46" s="67">
        <f>ABS(B43-B41)/B42</f>
        <v>2.9471405776117816</v>
      </c>
      <c r="C46" s="1" t="s">
        <v>617</v>
      </c>
      <c r="D46" s="1" t="s">
        <v>610</v>
      </c>
    </row>
    <row r="47" spans="1:4" x14ac:dyDescent="0.35">
      <c r="A47" s="66" t="s">
        <v>611</v>
      </c>
      <c r="B47" s="67">
        <f>ABS(B44-B41)/B42</f>
        <v>0.90107153536620843</v>
      </c>
      <c r="C47" s="1" t="s">
        <v>618</v>
      </c>
      <c r="D47" s="1" t="s">
        <v>613</v>
      </c>
    </row>
    <row r="48" spans="1:4" x14ac:dyDescent="0.35">
      <c r="A48" s="66" t="s">
        <v>619</v>
      </c>
      <c r="B48" s="66">
        <v>2.64</v>
      </c>
      <c r="D48" s="1" t="s">
        <v>620</v>
      </c>
    </row>
    <row r="51" spans="1:4" x14ac:dyDescent="0.35">
      <c r="A51" s="1" t="s">
        <v>621</v>
      </c>
    </row>
    <row r="52" spans="1:4" x14ac:dyDescent="0.35">
      <c r="A52" s="66" t="s">
        <v>606</v>
      </c>
      <c r="B52" s="67">
        <f>AVERAGE(B7:B26)</f>
        <v>348.32</v>
      </c>
    </row>
    <row r="53" spans="1:4" x14ac:dyDescent="0.35">
      <c r="A53" s="66" t="s">
        <v>607</v>
      </c>
      <c r="B53" s="67">
        <f>_xlfn.STDEV.S(B7:B26)</f>
        <v>219.49380665042625</v>
      </c>
    </row>
    <row r="54" spans="1:4" x14ac:dyDescent="0.35">
      <c r="A54" s="66" t="s">
        <v>365</v>
      </c>
      <c r="B54" s="67">
        <f>MAX(B7:B26)</f>
        <v>1012</v>
      </c>
    </row>
    <row r="55" spans="1:4" x14ac:dyDescent="0.35">
      <c r="A55" s="66" t="s">
        <v>366</v>
      </c>
      <c r="B55" s="67">
        <f>MIN(B7:B26)</f>
        <v>129.69999999999999</v>
      </c>
    </row>
    <row r="56" spans="1:4" x14ac:dyDescent="0.35">
      <c r="A56" s="66" t="s">
        <v>78</v>
      </c>
      <c r="B56" s="66">
        <v>20</v>
      </c>
    </row>
    <row r="57" spans="1:4" x14ac:dyDescent="0.35">
      <c r="A57" s="66" t="s">
        <v>608</v>
      </c>
      <c r="B57" s="67">
        <f>ABS(B54-B52)/B53</f>
        <v>3.0236844042574775</v>
      </c>
      <c r="C57" s="1" t="s">
        <v>622</v>
      </c>
      <c r="D57" s="1" t="s">
        <v>610</v>
      </c>
    </row>
    <row r="58" spans="1:4" x14ac:dyDescent="0.35">
      <c r="A58" s="66" t="s">
        <v>611</v>
      </c>
      <c r="B58" s="67">
        <f>ABS(B55-B52)/B53</f>
        <v>0.99601899177128994</v>
      </c>
      <c r="C58" s="1" t="s">
        <v>623</v>
      </c>
      <c r="D58" s="1" t="s">
        <v>613</v>
      </c>
    </row>
    <row r="59" spans="1:4" x14ac:dyDescent="0.35">
      <c r="A59" s="66" t="s">
        <v>624</v>
      </c>
      <c r="B59" s="66">
        <v>2.62</v>
      </c>
      <c r="D59" s="1" t="s">
        <v>625</v>
      </c>
    </row>
    <row r="62" spans="1:4" x14ac:dyDescent="0.35">
      <c r="A62" s="1" t="s">
        <v>626</v>
      </c>
    </row>
    <row r="63" spans="1:4" x14ac:dyDescent="0.35">
      <c r="A63" s="66" t="s">
        <v>606</v>
      </c>
      <c r="B63" s="67">
        <f>AVERAGE(B8:B26)</f>
        <v>313.38947368421049</v>
      </c>
    </row>
    <row r="64" spans="1:4" x14ac:dyDescent="0.35">
      <c r="A64" s="66" t="s">
        <v>607</v>
      </c>
      <c r="B64" s="67">
        <f>_xlfn.STDEV.S(B8:B26)</f>
        <v>158.41563788807392</v>
      </c>
    </row>
    <row r="65" spans="1:4" x14ac:dyDescent="0.35">
      <c r="A65" s="66" t="s">
        <v>365</v>
      </c>
      <c r="B65" s="67">
        <f>MAX(B8:B26)</f>
        <v>775.5</v>
      </c>
    </row>
    <row r="66" spans="1:4" x14ac:dyDescent="0.35">
      <c r="A66" s="66" t="s">
        <v>366</v>
      </c>
      <c r="B66" s="67">
        <f>MIN(B8:B26)</f>
        <v>129.69999999999999</v>
      </c>
    </row>
    <row r="67" spans="1:4" x14ac:dyDescent="0.35">
      <c r="A67" s="66" t="s">
        <v>78</v>
      </c>
      <c r="B67" s="66">
        <v>19</v>
      </c>
    </row>
    <row r="68" spans="1:4" x14ac:dyDescent="0.35">
      <c r="A68" s="66" t="s">
        <v>608</v>
      </c>
      <c r="B68" s="67">
        <f>ABS(B65-B63)/B64</f>
        <v>2.9170764482373039</v>
      </c>
      <c r="C68" s="1" t="s">
        <v>627</v>
      </c>
      <c r="D68" s="1" t="s">
        <v>610</v>
      </c>
    </row>
    <row r="69" spans="1:4" x14ac:dyDescent="0.35">
      <c r="A69" s="66" t="s">
        <v>611</v>
      </c>
      <c r="B69" s="67">
        <f>ABS(B66-B63)/B64</f>
        <v>1.1595412936063383</v>
      </c>
      <c r="C69" s="1" t="s">
        <v>628</v>
      </c>
      <c r="D69" s="1" t="s">
        <v>613</v>
      </c>
    </row>
    <row r="70" spans="1:4" x14ac:dyDescent="0.35">
      <c r="A70" s="66" t="s">
        <v>629</v>
      </c>
      <c r="B70" s="66">
        <v>2.6</v>
      </c>
      <c r="D70" s="1" t="s">
        <v>630</v>
      </c>
    </row>
    <row r="73" spans="1:4" x14ac:dyDescent="0.35">
      <c r="A73" s="1" t="s">
        <v>631</v>
      </c>
    </row>
    <row r="74" spans="1:4" x14ac:dyDescent="0.35">
      <c r="A74" s="66" t="s">
        <v>606</v>
      </c>
      <c r="B74" s="67">
        <f>AVERAGE(B9:B26)</f>
        <v>287.71666666666664</v>
      </c>
    </row>
    <row r="75" spans="1:4" x14ac:dyDescent="0.35">
      <c r="A75" s="66" t="s">
        <v>607</v>
      </c>
      <c r="B75" s="67">
        <f>_xlfn.STDEV.S(B9:B26)</f>
        <v>115.37902883157608</v>
      </c>
    </row>
    <row r="76" spans="1:4" x14ac:dyDescent="0.35">
      <c r="A76" s="66" t="s">
        <v>365</v>
      </c>
      <c r="B76" s="67">
        <f>MAX(B9:B26)</f>
        <v>513.20000000000005</v>
      </c>
    </row>
    <row r="77" spans="1:4" x14ac:dyDescent="0.35">
      <c r="A77" s="66" t="s">
        <v>366</v>
      </c>
      <c r="B77" s="67">
        <f>MIN(B9:B26)</f>
        <v>129.69999999999999</v>
      </c>
    </row>
    <row r="78" spans="1:4" x14ac:dyDescent="0.35">
      <c r="A78" s="66" t="s">
        <v>78</v>
      </c>
      <c r="B78" s="66">
        <v>18</v>
      </c>
    </row>
    <row r="79" spans="1:4" x14ac:dyDescent="0.35">
      <c r="A79" s="66" t="s">
        <v>608</v>
      </c>
      <c r="B79" s="67">
        <f>ABS(B76-B74)/B75</f>
        <v>1.9542835090290238</v>
      </c>
      <c r="C79" s="1" t="s">
        <v>632</v>
      </c>
      <c r="D79" s="1" t="s">
        <v>633</v>
      </c>
    </row>
    <row r="80" spans="1:4" x14ac:dyDescent="0.35">
      <c r="A80" s="66" t="s">
        <v>611</v>
      </c>
      <c r="B80" s="67">
        <f>ABS(B77-B74)/B75</f>
        <v>1.3695440867103383</v>
      </c>
      <c r="C80" s="1" t="s">
        <v>632</v>
      </c>
      <c r="D80" s="1" t="s">
        <v>613</v>
      </c>
    </row>
    <row r="81" spans="1:4" x14ac:dyDescent="0.35">
      <c r="A81" s="66" t="s">
        <v>634</v>
      </c>
      <c r="B81" s="66">
        <v>2.58</v>
      </c>
      <c r="D81" s="1" t="s">
        <v>635</v>
      </c>
    </row>
    <row r="84" spans="1:4" x14ac:dyDescent="0.35">
      <c r="A84" s="1" t="s">
        <v>636</v>
      </c>
    </row>
    <row r="85" spans="1:4" x14ac:dyDescent="0.35">
      <c r="A85" s="63" t="s">
        <v>581</v>
      </c>
      <c r="B85" s="63" t="s">
        <v>582</v>
      </c>
    </row>
    <row r="86" spans="1:4" x14ac:dyDescent="0.35">
      <c r="A86" s="64" t="s">
        <v>587</v>
      </c>
      <c r="B86" s="65">
        <f>B9</f>
        <v>513.20000000000005</v>
      </c>
    </row>
    <row r="87" spans="1:4" x14ac:dyDescent="0.35">
      <c r="A87" s="64" t="s">
        <v>588</v>
      </c>
      <c r="B87" s="65">
        <f t="shared" ref="B87:B103" si="0">B10</f>
        <v>512.9</v>
      </c>
    </row>
    <row r="88" spans="1:4" x14ac:dyDescent="0.35">
      <c r="A88" s="64" t="s">
        <v>589</v>
      </c>
      <c r="B88" s="65">
        <f t="shared" si="0"/>
        <v>451.6</v>
      </c>
    </row>
    <row r="89" spans="1:4" x14ac:dyDescent="0.35">
      <c r="A89" s="64" t="s">
        <v>590</v>
      </c>
      <c r="B89" s="65">
        <f t="shared" si="0"/>
        <v>371.7</v>
      </c>
    </row>
    <row r="90" spans="1:4" x14ac:dyDescent="0.35">
      <c r="A90" s="64" t="s">
        <v>591</v>
      </c>
      <c r="B90" s="65">
        <f t="shared" si="0"/>
        <v>354.7</v>
      </c>
    </row>
    <row r="91" spans="1:4" x14ac:dyDescent="0.35">
      <c r="A91" s="64" t="s">
        <v>592</v>
      </c>
      <c r="B91" s="65">
        <f t="shared" si="0"/>
        <v>327.39999999999998</v>
      </c>
    </row>
    <row r="92" spans="1:4" x14ac:dyDescent="0.35">
      <c r="A92" s="64" t="s">
        <v>593</v>
      </c>
      <c r="B92" s="65">
        <f t="shared" si="0"/>
        <v>299.60000000000002</v>
      </c>
    </row>
    <row r="93" spans="1:4" x14ac:dyDescent="0.35">
      <c r="A93" s="64" t="s">
        <v>594</v>
      </c>
      <c r="B93" s="65">
        <f t="shared" si="0"/>
        <v>289.89999999999998</v>
      </c>
    </row>
    <row r="94" spans="1:4" x14ac:dyDescent="0.35">
      <c r="A94" s="64" t="s">
        <v>595</v>
      </c>
      <c r="B94" s="65">
        <f t="shared" si="0"/>
        <v>260.3</v>
      </c>
    </row>
    <row r="95" spans="1:4" x14ac:dyDescent="0.35">
      <c r="A95" s="64" t="s">
        <v>596</v>
      </c>
      <c r="B95" s="65">
        <f t="shared" si="0"/>
        <v>259.60000000000002</v>
      </c>
    </row>
    <row r="96" spans="1:4" x14ac:dyDescent="0.35">
      <c r="A96" s="64" t="s">
        <v>597</v>
      </c>
      <c r="B96" s="65">
        <f t="shared" si="0"/>
        <v>243.5</v>
      </c>
    </row>
    <row r="97" spans="1:6" x14ac:dyDescent="0.35">
      <c r="A97" s="64" t="s">
        <v>598</v>
      </c>
      <c r="B97" s="65">
        <f t="shared" si="0"/>
        <v>229.6</v>
      </c>
    </row>
    <row r="98" spans="1:6" x14ac:dyDescent="0.35">
      <c r="A98" s="64" t="s">
        <v>599</v>
      </c>
      <c r="B98" s="65">
        <f t="shared" si="0"/>
        <v>210.6</v>
      </c>
    </row>
    <row r="99" spans="1:6" x14ac:dyDescent="0.35">
      <c r="A99" s="64" t="s">
        <v>600</v>
      </c>
      <c r="B99" s="65">
        <f t="shared" si="0"/>
        <v>200.5</v>
      </c>
    </row>
    <row r="100" spans="1:6" x14ac:dyDescent="0.35">
      <c r="A100" s="64" t="s">
        <v>601</v>
      </c>
      <c r="B100" s="65">
        <f t="shared" si="0"/>
        <v>198.9</v>
      </c>
    </row>
    <row r="101" spans="1:6" x14ac:dyDescent="0.35">
      <c r="A101" s="64" t="s">
        <v>602</v>
      </c>
      <c r="B101" s="65">
        <f t="shared" si="0"/>
        <v>167.4</v>
      </c>
    </row>
    <row r="102" spans="1:6" x14ac:dyDescent="0.35">
      <c r="A102" s="64" t="s">
        <v>603</v>
      </c>
      <c r="B102" s="65">
        <f t="shared" si="0"/>
        <v>157.80000000000001</v>
      </c>
    </row>
    <row r="103" spans="1:6" x14ac:dyDescent="0.35">
      <c r="A103" s="64" t="s">
        <v>604</v>
      </c>
      <c r="B103" s="65">
        <f t="shared" si="0"/>
        <v>129.69999999999999</v>
      </c>
    </row>
    <row r="106" spans="1:6" x14ac:dyDescent="0.35">
      <c r="A106" s="66" t="s">
        <v>365</v>
      </c>
      <c r="B106" s="67">
        <f>MAX(B86:B103)</f>
        <v>513.20000000000005</v>
      </c>
    </row>
    <row r="107" spans="1:6" x14ac:dyDescent="0.35">
      <c r="A107" s="66" t="s">
        <v>366</v>
      </c>
      <c r="B107" s="67">
        <f>MIN(B86:B103)</f>
        <v>129.69999999999999</v>
      </c>
    </row>
    <row r="108" spans="1:6" x14ac:dyDescent="0.35">
      <c r="A108" s="66" t="s">
        <v>78</v>
      </c>
      <c r="B108" s="66">
        <f>COUNT(B86:B103)</f>
        <v>18</v>
      </c>
    </row>
    <row r="109" spans="1:6" x14ac:dyDescent="0.35">
      <c r="A109" s="66" t="s">
        <v>637</v>
      </c>
      <c r="B109" s="67">
        <f>(B106-B107)/(1+3.322*LOG10(B108))</f>
        <v>74.177730735579559</v>
      </c>
    </row>
    <row r="110" spans="1:6" x14ac:dyDescent="0.35">
      <c r="A110" s="66" t="s">
        <v>638</v>
      </c>
      <c r="B110" s="68">
        <f>1/AVERAGE(B86:B103)</f>
        <v>3.4756415455019407E-3</v>
      </c>
    </row>
    <row r="111" spans="1:6" x14ac:dyDescent="0.35">
      <c r="D111" s="32"/>
      <c r="E111" s="32"/>
      <c r="F111" s="32"/>
    </row>
    <row r="112" spans="1:6" x14ac:dyDescent="0.35">
      <c r="A112" s="63" t="s">
        <v>639</v>
      </c>
      <c r="B112" s="63" t="s">
        <v>640</v>
      </c>
      <c r="C112" s="63" t="s">
        <v>372</v>
      </c>
      <c r="D112" s="63" t="s">
        <v>373</v>
      </c>
      <c r="E112" s="63" t="s">
        <v>641</v>
      </c>
      <c r="F112" s="63" t="s">
        <v>642</v>
      </c>
    </row>
    <row r="113" spans="1:6" x14ac:dyDescent="0.35">
      <c r="A113" s="65">
        <f>B107</f>
        <v>129.69999999999999</v>
      </c>
      <c r="B113" s="65">
        <f>A113+$B$109</f>
        <v>203.87773073557955</v>
      </c>
      <c r="C113" s="63">
        <f>COUNTIFS($B$86:$B$103,"&gt;="&amp;A113,$B$86:$B$103,"&lt;"&amp;B113)</f>
        <v>5</v>
      </c>
      <c r="D113" s="69">
        <f>1-EXP(-$B$110*B113)</f>
        <v>0.50766992887049378</v>
      </c>
      <c r="E113" s="63">
        <f>ROUNDDOWN($B$108*D113,0)</f>
        <v>9</v>
      </c>
      <c r="F113" s="67">
        <f>((C113-E113)^2)/C113</f>
        <v>3.2</v>
      </c>
    </row>
    <row r="114" spans="1:6" x14ac:dyDescent="0.35">
      <c r="A114" s="65">
        <f>B113</f>
        <v>203.87773073557955</v>
      </c>
      <c r="B114" s="65">
        <f t="shared" ref="B114:B117" si="1">A114+$B$109</f>
        <v>278.05546147115911</v>
      </c>
      <c r="C114" s="63">
        <f t="shared" ref="C114:C117" si="2">COUNTIFS($B$86:$B$103,"&gt;="&amp;A114,$B$86:$B$103,"&lt;"&amp;B114)</f>
        <v>5</v>
      </c>
      <c r="D114" s="69">
        <f>(1-EXP(-$B$110*B114))-(1-EXP(-$B$110*A114))</f>
        <v>0.11188790736131249</v>
      </c>
      <c r="E114" s="63">
        <f t="shared" ref="E114:E118" si="3">ROUNDDOWN($B$108*D114,0)</f>
        <v>2</v>
      </c>
      <c r="F114" s="67">
        <f t="shared" ref="F114:F118" si="4">((C114-E114)^2)/C114</f>
        <v>1.8</v>
      </c>
    </row>
    <row r="115" spans="1:6" x14ac:dyDescent="0.35">
      <c r="A115" s="65">
        <f t="shared" ref="A115:A116" si="5">B114</f>
        <v>278.05546147115911</v>
      </c>
      <c r="B115" s="65">
        <f t="shared" si="1"/>
        <v>352.23319220673864</v>
      </c>
      <c r="C115" s="63">
        <f t="shared" si="2"/>
        <v>3</v>
      </c>
      <c r="D115" s="69">
        <f>(1-EXP(-$B$110*B115))-(1-EXP(-$B$110*A115))</f>
        <v>8.6460039863857641E-2</v>
      </c>
      <c r="E115" s="63">
        <f t="shared" si="3"/>
        <v>1</v>
      </c>
      <c r="F115" s="67">
        <f t="shared" si="4"/>
        <v>1.3333333333333333</v>
      </c>
    </row>
    <row r="116" spans="1:6" x14ac:dyDescent="0.35">
      <c r="A116" s="65">
        <f t="shared" si="5"/>
        <v>352.23319220673864</v>
      </c>
      <c r="B116" s="65">
        <f t="shared" si="1"/>
        <v>426.41092294231817</v>
      </c>
      <c r="C116" s="63">
        <f t="shared" si="2"/>
        <v>2</v>
      </c>
      <c r="D116" s="69">
        <f>(1-EXP(-$B$110*B116))-(1-EXP(-$B$110*A116))</f>
        <v>6.6810959911156376E-2</v>
      </c>
      <c r="E116" s="63">
        <f t="shared" si="3"/>
        <v>1</v>
      </c>
      <c r="F116" s="67">
        <f t="shared" si="4"/>
        <v>0.5</v>
      </c>
    </row>
    <row r="117" spans="1:6" x14ac:dyDescent="0.35">
      <c r="A117" s="65">
        <f>B116</f>
        <v>426.41092294231817</v>
      </c>
      <c r="B117" s="65">
        <f t="shared" si="1"/>
        <v>500.5886536778977</v>
      </c>
      <c r="C117" s="63">
        <f t="shared" si="2"/>
        <v>1</v>
      </c>
      <c r="D117" s="69">
        <f>(1-EXP(-$B$110*B117))-(1-EXP(-$B$110*A117))</f>
        <v>5.1627368796947515E-2</v>
      </c>
      <c r="E117" s="63">
        <f t="shared" si="3"/>
        <v>0</v>
      </c>
      <c r="F117" s="67">
        <f t="shared" si="4"/>
        <v>1</v>
      </c>
    </row>
    <row r="118" spans="1:6" x14ac:dyDescent="0.35">
      <c r="A118" s="65">
        <f t="shared" ref="A118" si="6">B117</f>
        <v>500.5886536778977</v>
      </c>
      <c r="B118" s="65">
        <f>B106</f>
        <v>513.20000000000005</v>
      </c>
      <c r="C118" s="63">
        <f>COUNTIFS($B$86:$B$103,"&gt;="&amp;A118,$B$86:$B$103,"&lt;="&amp;B118)</f>
        <v>2</v>
      </c>
      <c r="D118" s="69">
        <f>1-(1-EXP(-$B$110*A118))</f>
        <v>0.1755437951962322</v>
      </c>
      <c r="E118" s="63">
        <f t="shared" si="3"/>
        <v>3</v>
      </c>
      <c r="F118" s="67">
        <f t="shared" si="4"/>
        <v>0.5</v>
      </c>
    </row>
    <row r="119" spans="1:6" x14ac:dyDescent="0.35">
      <c r="B119" s="66" t="s">
        <v>78</v>
      </c>
      <c r="C119" s="66">
        <f>SUM(C113:C118)</f>
        <v>18</v>
      </c>
      <c r="D119" s="32"/>
    </row>
    <row r="120" spans="1:6" x14ac:dyDescent="0.35">
      <c r="B120" s="66" t="s">
        <v>376</v>
      </c>
      <c r="C120" s="66">
        <f>COUNT(A113:A118)</f>
        <v>6</v>
      </c>
    </row>
    <row r="124" spans="1:6" x14ac:dyDescent="0.35">
      <c r="A124" s="1" t="s">
        <v>643</v>
      </c>
    </row>
    <row r="125" spans="1:6" x14ac:dyDescent="0.35">
      <c r="A125" s="66" t="s">
        <v>376</v>
      </c>
      <c r="B125" s="66">
        <f>C120</f>
        <v>6</v>
      </c>
    </row>
    <row r="126" spans="1:6" x14ac:dyDescent="0.35">
      <c r="A126" s="66" t="s">
        <v>379</v>
      </c>
      <c r="B126" s="66">
        <v>1</v>
      </c>
    </row>
    <row r="127" spans="1:6" x14ac:dyDescent="0.35">
      <c r="A127" s="66" t="s">
        <v>644</v>
      </c>
      <c r="B127" s="67">
        <f>SUM(F113:F118)</f>
        <v>8.3333333333333321</v>
      </c>
    </row>
    <row r="128" spans="1:6" x14ac:dyDescent="0.35">
      <c r="A128" s="66" t="s">
        <v>645</v>
      </c>
      <c r="B128" s="70">
        <f>_xlfn.CHISQ.INV(0.95,B125-B126-1)</f>
        <v>9.4877290367811575</v>
      </c>
    </row>
    <row r="129" spans="1:1" x14ac:dyDescent="0.35">
      <c r="A129" s="1" t="s">
        <v>646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56C3E-B21F-43B1-BF1C-644AFC50DEF4}">
  <dimension ref="A1:Y449"/>
  <sheetViews>
    <sheetView topLeftCell="A178" zoomScaleNormal="100" workbookViewId="0">
      <selection activeCell="I202" sqref="I202"/>
    </sheetView>
  </sheetViews>
  <sheetFormatPr defaultRowHeight="14.5" x14ac:dyDescent="0.35"/>
  <cols>
    <col min="1" max="1" width="15.7265625" style="1" customWidth="1"/>
    <col min="2" max="2" width="9.54296875" style="1" bestFit="1" customWidth="1"/>
    <col min="3" max="3" width="12.7265625" style="1" customWidth="1"/>
    <col min="4" max="4" width="10.08984375" style="1" customWidth="1"/>
    <col min="5" max="5" width="8.7265625" style="1"/>
    <col min="6" max="6" width="10.453125" style="1" customWidth="1"/>
    <col min="7" max="7" width="10.26953125" style="1" customWidth="1"/>
    <col min="8" max="8" width="11.7265625" style="1" customWidth="1"/>
    <col min="9" max="9" width="13.7265625" style="1" customWidth="1"/>
    <col min="10" max="10" width="15.54296875" style="1" customWidth="1"/>
    <col min="11" max="11" width="18.453125" style="1" customWidth="1"/>
    <col min="12" max="12" width="20.453125" style="1" customWidth="1"/>
    <col min="13" max="14" width="8.7265625" style="1"/>
    <col min="15" max="16" width="7.1796875" style="1" bestFit="1" customWidth="1"/>
    <col min="17" max="18" width="6.1796875" style="1" bestFit="1" customWidth="1"/>
    <col min="19" max="20" width="10.1796875" style="1" bestFit="1" customWidth="1"/>
    <col min="21" max="21" width="11.1796875" style="1" bestFit="1" customWidth="1"/>
    <col min="22" max="22" width="13.26953125" style="1" bestFit="1" customWidth="1"/>
    <col min="23" max="23" width="15.26953125" style="1" bestFit="1" customWidth="1"/>
    <col min="24" max="24" width="17.453125" style="1" bestFit="1" customWidth="1"/>
    <col min="25" max="25" width="20.453125" style="1" bestFit="1" customWidth="1"/>
    <col min="26" max="16384" width="8.7265625" style="1"/>
  </cols>
  <sheetData>
    <row r="1" spans="1:6" x14ac:dyDescent="0.35">
      <c r="A1" s="1" t="s">
        <v>394</v>
      </c>
    </row>
    <row r="2" spans="1:6" x14ac:dyDescent="0.35">
      <c r="A2" s="1" t="s">
        <v>395</v>
      </c>
    </row>
    <row r="3" spans="1:6" x14ac:dyDescent="0.35">
      <c r="A3" s="1" t="s">
        <v>396</v>
      </c>
    </row>
    <row r="4" spans="1:6" x14ac:dyDescent="0.35">
      <c r="A4" s="1" t="s">
        <v>397</v>
      </c>
    </row>
    <row r="5" spans="1:6" x14ac:dyDescent="0.35">
      <c r="A5" s="1" t="s">
        <v>398</v>
      </c>
    </row>
    <row r="6" spans="1:6" x14ac:dyDescent="0.35">
      <c r="A6" s="1" t="s">
        <v>399</v>
      </c>
    </row>
    <row r="7" spans="1:6" x14ac:dyDescent="0.35">
      <c r="A7" s="1" t="s">
        <v>400</v>
      </c>
    </row>
    <row r="9" spans="1:6" x14ac:dyDescent="0.35">
      <c r="A9" s="2"/>
      <c r="B9" s="2">
        <v>1</v>
      </c>
      <c r="C9" s="2">
        <v>2</v>
      </c>
      <c r="D9" s="2">
        <v>3</v>
      </c>
    </row>
    <row r="10" spans="1:6" x14ac:dyDescent="0.35">
      <c r="A10" s="2" t="s">
        <v>401</v>
      </c>
      <c r="B10" s="2">
        <v>0.05</v>
      </c>
      <c r="C10" s="2">
        <v>0.1</v>
      </c>
      <c r="D10" s="2">
        <v>0.15</v>
      </c>
    </row>
    <row r="11" spans="1:6" x14ac:dyDescent="0.35">
      <c r="A11" s="2" t="s">
        <v>402</v>
      </c>
      <c r="B11" s="2">
        <v>1000</v>
      </c>
      <c r="C11" s="2">
        <v>1500</v>
      </c>
      <c r="D11" s="2">
        <v>2000</v>
      </c>
      <c r="F11" s="4"/>
    </row>
    <row r="12" spans="1:6" x14ac:dyDescent="0.35">
      <c r="A12" s="2" t="s">
        <v>403</v>
      </c>
      <c r="B12" s="3">
        <f>B11/(SUM($B$11:$D$11))</f>
        <v>0.22222222222222221</v>
      </c>
      <c r="C12" s="3">
        <f t="shared" ref="C12:D12" si="0">C11/(SUM($B$11:$D$11))</f>
        <v>0.33333333333333331</v>
      </c>
      <c r="D12" s="3">
        <f t="shared" si="0"/>
        <v>0.44444444444444442</v>
      </c>
      <c r="E12" s="1" t="s">
        <v>404</v>
      </c>
      <c r="F12" s="4"/>
    </row>
    <row r="17" spans="1:3" x14ac:dyDescent="0.35">
      <c r="B17" s="2" t="s">
        <v>405</v>
      </c>
      <c r="C17" s="3">
        <f>B10*B12+C10*C12+D10*D12</f>
        <v>0.1111111111111111</v>
      </c>
    </row>
    <row r="18" spans="1:3" x14ac:dyDescent="0.35">
      <c r="A18" s="1" t="s">
        <v>406</v>
      </c>
    </row>
    <row r="22" spans="1:3" ht="29" x14ac:dyDescent="0.35">
      <c r="A22" s="41" t="s">
        <v>407</v>
      </c>
      <c r="B22" s="6">
        <f>1000*0.15*C17</f>
        <v>16.666666666666664</v>
      </c>
    </row>
    <row r="23" spans="1:3" x14ac:dyDescent="0.35">
      <c r="A23" s="1" t="s">
        <v>408</v>
      </c>
    </row>
    <row r="26" spans="1:3" x14ac:dyDescent="0.35">
      <c r="A26" s="1" t="s">
        <v>409</v>
      </c>
    </row>
    <row r="27" spans="1:3" x14ac:dyDescent="0.35">
      <c r="A27" s="1" t="s">
        <v>410</v>
      </c>
    </row>
    <row r="28" spans="1:3" x14ac:dyDescent="0.35">
      <c r="A28" s="1" t="s">
        <v>411</v>
      </c>
    </row>
    <row r="29" spans="1:3" x14ac:dyDescent="0.35">
      <c r="A29" s="1" t="s">
        <v>412</v>
      </c>
    </row>
    <row r="30" spans="1:3" x14ac:dyDescent="0.35">
      <c r="A30" s="1" t="s">
        <v>413</v>
      </c>
    </row>
    <row r="31" spans="1:3" x14ac:dyDescent="0.35">
      <c r="A31" s="1" t="s">
        <v>398</v>
      </c>
    </row>
    <row r="32" spans="1:3" x14ac:dyDescent="0.35">
      <c r="A32" s="1" t="s">
        <v>414</v>
      </c>
    </row>
    <row r="33" spans="1:6" x14ac:dyDescent="0.35">
      <c r="A33" s="1" t="s">
        <v>415</v>
      </c>
    </row>
    <row r="35" spans="1:6" x14ac:dyDescent="0.35">
      <c r="A35" s="2"/>
      <c r="B35" s="2">
        <v>1</v>
      </c>
      <c r="C35" s="2">
        <v>2</v>
      </c>
      <c r="D35" s="2">
        <v>3</v>
      </c>
      <c r="E35" s="2">
        <v>4</v>
      </c>
    </row>
    <row r="36" spans="1:6" x14ac:dyDescent="0.35">
      <c r="A36" s="2" t="s">
        <v>402</v>
      </c>
      <c r="B36" s="2">
        <v>1300</v>
      </c>
      <c r="C36" s="2">
        <v>4200</v>
      </c>
      <c r="D36" s="2">
        <v>500</v>
      </c>
      <c r="E36" s="2">
        <v>2000</v>
      </c>
    </row>
    <row r="37" spans="1:6" x14ac:dyDescent="0.35">
      <c r="A37" s="2" t="s">
        <v>416</v>
      </c>
      <c r="B37" s="2">
        <v>195</v>
      </c>
      <c r="C37" s="2">
        <v>420</v>
      </c>
      <c r="D37" s="2">
        <v>100</v>
      </c>
      <c r="E37" s="2">
        <v>260</v>
      </c>
    </row>
    <row r="38" spans="1:6" x14ac:dyDescent="0.35">
      <c r="A38" s="2" t="s">
        <v>401</v>
      </c>
      <c r="B38" s="2">
        <f>B37/B36</f>
        <v>0.15</v>
      </c>
      <c r="C38" s="2">
        <f t="shared" ref="C38:E38" si="1">C37/C36</f>
        <v>0.1</v>
      </c>
      <c r="D38" s="2">
        <f t="shared" si="1"/>
        <v>0.2</v>
      </c>
      <c r="E38" s="2">
        <f t="shared" si="1"/>
        <v>0.13</v>
      </c>
      <c r="F38" s="1" t="s">
        <v>417</v>
      </c>
    </row>
    <row r="39" spans="1:6" x14ac:dyDescent="0.35">
      <c r="A39" s="2" t="s">
        <v>418</v>
      </c>
      <c r="B39" s="19">
        <f>B36/SUM($B$36:$E$36)</f>
        <v>0.16250000000000001</v>
      </c>
      <c r="C39" s="19">
        <f t="shared" ref="C39:E39" si="2">C36/SUM($B$36:$E$36)</f>
        <v>0.52500000000000002</v>
      </c>
      <c r="D39" s="19">
        <f t="shared" si="2"/>
        <v>6.25E-2</v>
      </c>
      <c r="E39" s="19">
        <f t="shared" si="2"/>
        <v>0.25</v>
      </c>
      <c r="F39" s="1" t="s">
        <v>419</v>
      </c>
    </row>
    <row r="43" spans="1:6" x14ac:dyDescent="0.35">
      <c r="B43" s="2" t="s">
        <v>420</v>
      </c>
      <c r="C43" s="19">
        <f>B38*B39+C38*C39+D38*D39+E38*E39</f>
        <v>0.121875</v>
      </c>
    </row>
    <row r="44" spans="1:6" x14ac:dyDescent="0.35">
      <c r="A44" s="1" t="s">
        <v>421</v>
      </c>
    </row>
    <row r="46" spans="1:6" x14ac:dyDescent="0.35">
      <c r="A46" s="1" t="s">
        <v>422</v>
      </c>
    </row>
    <row r="51" spans="1:5" x14ac:dyDescent="0.35">
      <c r="A51" s="2"/>
      <c r="B51" s="2">
        <v>1</v>
      </c>
      <c r="C51" s="2">
        <v>2</v>
      </c>
      <c r="D51" s="2">
        <v>3</v>
      </c>
      <c r="E51" s="2">
        <v>4</v>
      </c>
    </row>
    <row r="52" spans="1:5" x14ac:dyDescent="0.35">
      <c r="A52" s="2" t="s">
        <v>423</v>
      </c>
      <c r="B52" s="19">
        <f>B39*B38/$C$43</f>
        <v>0.2</v>
      </c>
      <c r="C52" s="19">
        <f t="shared" ref="C52:E52" si="3">C39*C38/$C$43</f>
        <v>0.43076923076923079</v>
      </c>
      <c r="D52" s="19">
        <f t="shared" si="3"/>
        <v>0.10256410256410257</v>
      </c>
      <c r="E52" s="19">
        <f t="shared" si="3"/>
        <v>0.26666666666666666</v>
      </c>
    </row>
    <row r="53" spans="1:5" x14ac:dyDescent="0.35">
      <c r="A53" s="1" t="s">
        <v>424</v>
      </c>
    </row>
    <row r="56" spans="1:5" ht="29" x14ac:dyDescent="0.35">
      <c r="A56" s="41" t="s">
        <v>407</v>
      </c>
      <c r="B56" s="6">
        <f>1500*0.5*C43</f>
        <v>91.40625</v>
      </c>
    </row>
    <row r="57" spans="1:5" x14ac:dyDescent="0.35">
      <c r="A57" s="1" t="s">
        <v>425</v>
      </c>
    </row>
    <row r="59" spans="1:5" x14ac:dyDescent="0.35">
      <c r="A59" s="1" t="s">
        <v>426</v>
      </c>
    </row>
    <row r="60" spans="1:5" x14ac:dyDescent="0.35">
      <c r="A60" s="1" t="s">
        <v>427</v>
      </c>
    </row>
    <row r="61" spans="1:5" x14ac:dyDescent="0.35">
      <c r="A61" s="1" t="s">
        <v>428</v>
      </c>
    </row>
    <row r="62" spans="1:5" x14ac:dyDescent="0.35">
      <c r="A62" s="1" t="s">
        <v>429</v>
      </c>
    </row>
    <row r="63" spans="1:5" x14ac:dyDescent="0.35">
      <c r="A63" s="1" t="s">
        <v>430</v>
      </c>
    </row>
    <row r="65" spans="1:12" x14ac:dyDescent="0.35">
      <c r="A65" s="1" t="s">
        <v>431</v>
      </c>
    </row>
    <row r="68" spans="1:12" x14ac:dyDescent="0.35">
      <c r="G68" s="1" t="s">
        <v>432</v>
      </c>
    </row>
    <row r="74" spans="1:12" x14ac:dyDescent="0.35">
      <c r="A74" s="2" t="s">
        <v>379</v>
      </c>
      <c r="B74" s="2">
        <v>0</v>
      </c>
      <c r="C74" s="2">
        <v>1</v>
      </c>
      <c r="D74" s="2">
        <v>2</v>
      </c>
      <c r="E74" s="2">
        <v>3</v>
      </c>
      <c r="F74" s="2">
        <v>4</v>
      </c>
      <c r="G74" s="2">
        <v>5</v>
      </c>
      <c r="H74" s="2">
        <v>6</v>
      </c>
      <c r="I74" s="2">
        <v>7</v>
      </c>
      <c r="J74" s="2">
        <v>8</v>
      </c>
      <c r="K74" s="2">
        <v>9</v>
      </c>
      <c r="L74" s="2">
        <v>10</v>
      </c>
    </row>
    <row r="75" spans="1:12" x14ac:dyDescent="0.35">
      <c r="A75" s="2" t="s">
        <v>433</v>
      </c>
      <c r="B75" s="42">
        <f>(FACT(10))/(FACT(B74)*FACT(10-B74))*(0.02^B74)*(0.98^(10-B74))</f>
        <v>0.81707280688754658</v>
      </c>
      <c r="C75" s="42">
        <f t="shared" ref="C75:L75" si="4">(FACT(10))/(FACT(C74)*FACT(10-C74))*(0.02^C74)*(0.98^(10-C74))</f>
        <v>0.16674955242602996</v>
      </c>
      <c r="D75" s="42">
        <f t="shared" si="4"/>
        <v>1.5313734406472138E-2</v>
      </c>
      <c r="E75" s="42">
        <f t="shared" si="4"/>
        <v>8.3340051191685112E-4</v>
      </c>
      <c r="F75" s="43">
        <f t="shared" si="4"/>
        <v>2.9764303997030397E-5</v>
      </c>
      <c r="G75" s="43">
        <f t="shared" si="4"/>
        <v>7.2892173053951983E-7</v>
      </c>
      <c r="H75" s="44">
        <f t="shared" si="4"/>
        <v>1.2396628070399998E-8</v>
      </c>
      <c r="I75" s="45">
        <f t="shared" si="4"/>
        <v>1.445670912E-10</v>
      </c>
      <c r="J75" s="46">
        <f t="shared" si="4"/>
        <v>1.1063808E-12</v>
      </c>
      <c r="K75" s="47">
        <f t="shared" si="4"/>
        <v>5.0176000000000001E-15</v>
      </c>
      <c r="L75" s="48">
        <f t="shared" si="4"/>
        <v>1.0240000000000001E-17</v>
      </c>
    </row>
    <row r="76" spans="1:12" x14ac:dyDescent="0.35">
      <c r="A76" s="2" t="s">
        <v>434</v>
      </c>
      <c r="B76" s="2">
        <f>B75*B74</f>
        <v>0</v>
      </c>
      <c r="C76" s="2">
        <f t="shared" ref="C76:L76" si="5">C75*C74</f>
        <v>0.16674955242602996</v>
      </c>
      <c r="D76" s="2">
        <f t="shared" si="5"/>
        <v>3.0627468812944276E-2</v>
      </c>
      <c r="E76" s="2">
        <f t="shared" si="5"/>
        <v>2.5002015357505534E-3</v>
      </c>
      <c r="F76" s="2">
        <f t="shared" si="5"/>
        <v>1.1905721598812159E-4</v>
      </c>
      <c r="G76" s="49">
        <f>G75*G74</f>
        <v>3.6446086526975992E-6</v>
      </c>
      <c r="H76" s="50">
        <f t="shared" si="5"/>
        <v>7.4379768422399992E-8</v>
      </c>
      <c r="I76" s="51">
        <f t="shared" si="5"/>
        <v>1.0119696384000001E-9</v>
      </c>
      <c r="J76" s="52">
        <f t="shared" si="5"/>
        <v>8.8510464000000003E-12</v>
      </c>
      <c r="K76" s="53">
        <f t="shared" si="5"/>
        <v>4.5158400000000004E-14</v>
      </c>
      <c r="L76" s="54">
        <f t="shared" si="5"/>
        <v>1.0240000000000001E-16</v>
      </c>
    </row>
    <row r="78" spans="1:12" x14ac:dyDescent="0.35">
      <c r="A78" s="2" t="s">
        <v>435</v>
      </c>
      <c r="B78" s="7">
        <f>B74^2</f>
        <v>0</v>
      </c>
      <c r="C78" s="7">
        <f t="shared" ref="C78:L78" si="6">C74^2</f>
        <v>1</v>
      </c>
      <c r="D78" s="7">
        <f t="shared" si="6"/>
        <v>4</v>
      </c>
      <c r="E78" s="7">
        <f t="shared" si="6"/>
        <v>9</v>
      </c>
      <c r="F78" s="7">
        <f t="shared" si="6"/>
        <v>16</v>
      </c>
      <c r="G78" s="7">
        <f t="shared" si="6"/>
        <v>25</v>
      </c>
      <c r="H78" s="7">
        <f t="shared" si="6"/>
        <v>36</v>
      </c>
      <c r="I78" s="7">
        <f t="shared" si="6"/>
        <v>49</v>
      </c>
      <c r="J78" s="7">
        <f t="shared" si="6"/>
        <v>64</v>
      </c>
      <c r="K78" s="7">
        <f t="shared" si="6"/>
        <v>81</v>
      </c>
      <c r="L78" s="7">
        <f t="shared" si="6"/>
        <v>100</v>
      </c>
    </row>
    <row r="79" spans="1:12" x14ac:dyDescent="0.35">
      <c r="A79" s="2" t="s">
        <v>436</v>
      </c>
      <c r="B79" s="7">
        <f>B78*B75</f>
        <v>0</v>
      </c>
      <c r="C79" s="7">
        <f t="shared" ref="C79:L79" si="7">C78*C75</f>
        <v>0.16674955242602996</v>
      </c>
      <c r="D79" s="7">
        <f t="shared" si="7"/>
        <v>6.1254937625888552E-2</v>
      </c>
      <c r="E79" s="7">
        <f t="shared" si="7"/>
        <v>7.5006046072516597E-3</v>
      </c>
      <c r="F79" s="7">
        <f t="shared" si="7"/>
        <v>4.7622886395248636E-4</v>
      </c>
      <c r="G79" s="55">
        <f t="shared" si="7"/>
        <v>1.8223043263487995E-5</v>
      </c>
      <c r="H79" s="50">
        <f t="shared" si="7"/>
        <v>4.462786105343999E-7</v>
      </c>
      <c r="I79" s="51">
        <f t="shared" si="7"/>
        <v>7.0837874687999997E-9</v>
      </c>
      <c r="J79" s="52">
        <f t="shared" si="7"/>
        <v>7.0808371200000002E-11</v>
      </c>
      <c r="K79" s="53">
        <f t="shared" si="7"/>
        <v>4.064256E-13</v>
      </c>
      <c r="L79" s="53">
        <f t="shared" si="7"/>
        <v>1.0240000000000001E-15</v>
      </c>
    </row>
    <row r="88" spans="2:7" x14ac:dyDescent="0.35">
      <c r="B88" s="2" t="s">
        <v>437</v>
      </c>
      <c r="C88" s="28">
        <f>SUM(B76:L76)</f>
        <v>0.20000000000000004</v>
      </c>
    </row>
    <row r="89" spans="2:7" x14ac:dyDescent="0.35">
      <c r="B89" s="2" t="s">
        <v>438</v>
      </c>
      <c r="C89" s="2">
        <f>SUM(B79:L79)</f>
        <v>0.23599999999999996</v>
      </c>
    </row>
    <row r="90" spans="2:7" x14ac:dyDescent="0.35">
      <c r="B90" s="2" t="s">
        <v>439</v>
      </c>
      <c r="C90" s="28">
        <f>C88^2</f>
        <v>4.0000000000000015E-2</v>
      </c>
    </row>
    <row r="91" spans="2:7" x14ac:dyDescent="0.35">
      <c r="B91" s="2" t="s">
        <v>440</v>
      </c>
      <c r="C91" s="28">
        <f>SQRT(C89-C90)</f>
        <v>0.44271887242357305</v>
      </c>
      <c r="F91" s="56"/>
      <c r="G91" s="56"/>
    </row>
    <row r="93" spans="2:7" x14ac:dyDescent="0.35">
      <c r="B93" s="1" t="s">
        <v>441</v>
      </c>
    </row>
    <row r="94" spans="2:7" x14ac:dyDescent="0.35">
      <c r="B94" s="1" t="s">
        <v>442</v>
      </c>
    </row>
    <row r="95" spans="2:7" x14ac:dyDescent="0.35">
      <c r="B95" s="1" t="s">
        <v>443</v>
      </c>
    </row>
    <row r="97" spans="1:2" x14ac:dyDescent="0.35">
      <c r="A97" s="2" t="s">
        <v>444</v>
      </c>
      <c r="B97" s="2">
        <f>1000*C88</f>
        <v>200.00000000000003</v>
      </c>
    </row>
    <row r="98" spans="1:2" x14ac:dyDescent="0.35">
      <c r="A98" s="2" t="s">
        <v>445</v>
      </c>
      <c r="B98" s="3">
        <f>1000*C91</f>
        <v>442.71887242357303</v>
      </c>
    </row>
    <row r="99" spans="1:2" x14ac:dyDescent="0.35">
      <c r="A99" s="2" t="s">
        <v>446</v>
      </c>
      <c r="B99" s="3">
        <f>B97+B98</f>
        <v>642.71887242357309</v>
      </c>
    </row>
    <row r="100" spans="1:2" x14ac:dyDescent="0.35">
      <c r="A100" s="1" t="s">
        <v>447</v>
      </c>
    </row>
    <row r="101" spans="1:2" x14ac:dyDescent="0.35">
      <c r="A101" s="1" t="s">
        <v>448</v>
      </c>
    </row>
    <row r="102" spans="1:2" x14ac:dyDescent="0.35">
      <c r="A102" s="1" t="s">
        <v>449</v>
      </c>
    </row>
    <row r="104" spans="1:2" x14ac:dyDescent="0.35">
      <c r="A104" s="1" t="s">
        <v>450</v>
      </c>
    </row>
    <row r="105" spans="1:2" x14ac:dyDescent="0.35">
      <c r="A105" s="1" t="s">
        <v>451</v>
      </c>
    </row>
    <row r="113" spans="1:6" x14ac:dyDescent="0.35">
      <c r="B113" s="2" t="s">
        <v>452</v>
      </c>
      <c r="C113" s="2">
        <v>100</v>
      </c>
    </row>
    <row r="114" spans="1:6" x14ac:dyDescent="0.35">
      <c r="B114" s="2" t="s">
        <v>453</v>
      </c>
      <c r="C114" s="2">
        <v>200</v>
      </c>
    </row>
    <row r="115" spans="1:6" x14ac:dyDescent="0.35">
      <c r="B115" s="2" t="s">
        <v>78</v>
      </c>
      <c r="C115" s="2">
        <v>3000</v>
      </c>
    </row>
    <row r="116" spans="1:6" x14ac:dyDescent="0.35">
      <c r="B116" s="2" t="s">
        <v>454</v>
      </c>
      <c r="C116" s="2">
        <v>0.03</v>
      </c>
    </row>
    <row r="117" spans="1:6" x14ac:dyDescent="0.35">
      <c r="B117" s="2" t="s">
        <v>455</v>
      </c>
      <c r="C117" s="28">
        <f>(C113-C115*C116)/(SQRT(C115*C116*(1-C116)))</f>
        <v>1.0702688317798925</v>
      </c>
      <c r="E117" s="2" t="s">
        <v>456</v>
      </c>
      <c r="F117" s="2">
        <v>0.35770000000000002</v>
      </c>
    </row>
    <row r="118" spans="1:6" x14ac:dyDescent="0.35">
      <c r="B118" s="2" t="s">
        <v>457</v>
      </c>
      <c r="C118" s="28">
        <f>(C114-C115*C116)/(SQRT(C115*C116*(1-C116)))</f>
        <v>11.772957149578819</v>
      </c>
      <c r="E118" s="2" t="s">
        <v>458</v>
      </c>
      <c r="F118" s="2">
        <v>0.5</v>
      </c>
    </row>
    <row r="121" spans="1:6" x14ac:dyDescent="0.35">
      <c r="C121" s="2" t="s">
        <v>459</v>
      </c>
      <c r="D121" s="2">
        <f>F118-F117</f>
        <v>0.14229999999999998</v>
      </c>
    </row>
    <row r="122" spans="1:6" x14ac:dyDescent="0.35">
      <c r="A122" s="1" t="s">
        <v>460</v>
      </c>
    </row>
    <row r="125" spans="1:6" x14ac:dyDescent="0.35">
      <c r="A125" s="1" t="s">
        <v>461</v>
      </c>
    </row>
    <row r="126" spans="1:6" x14ac:dyDescent="0.35">
      <c r="A126" s="1" t="s">
        <v>462</v>
      </c>
    </row>
    <row r="127" spans="1:6" x14ac:dyDescent="0.35">
      <c r="A127" s="1" t="s">
        <v>463</v>
      </c>
    </row>
    <row r="128" spans="1:6" x14ac:dyDescent="0.35">
      <c r="A128" s="1" t="s">
        <v>464</v>
      </c>
    </row>
    <row r="129" spans="1:3" x14ac:dyDescent="0.35">
      <c r="A129" s="1" t="s">
        <v>465</v>
      </c>
    </row>
    <row r="130" spans="1:3" x14ac:dyDescent="0.35">
      <c r="A130" s="1" t="s">
        <v>466</v>
      </c>
    </row>
    <row r="131" spans="1:3" x14ac:dyDescent="0.35">
      <c r="A131" s="1" t="s">
        <v>467</v>
      </c>
    </row>
    <row r="132" spans="1:3" x14ac:dyDescent="0.35">
      <c r="A132" s="1" t="s">
        <v>468</v>
      </c>
    </row>
    <row r="133" spans="1:3" x14ac:dyDescent="0.35">
      <c r="A133" s="1" t="s">
        <v>469</v>
      </c>
    </row>
    <row r="141" spans="1:3" x14ac:dyDescent="0.35">
      <c r="B141" s="2" t="s">
        <v>470</v>
      </c>
      <c r="C141" s="2">
        <v>500</v>
      </c>
    </row>
    <row r="142" spans="1:3" x14ac:dyDescent="0.35">
      <c r="B142" s="2" t="s">
        <v>471</v>
      </c>
      <c r="C142" s="2">
        <v>60</v>
      </c>
    </row>
    <row r="143" spans="1:3" x14ac:dyDescent="0.35">
      <c r="B143" s="2" t="s">
        <v>452</v>
      </c>
      <c r="C143" s="2">
        <v>520</v>
      </c>
    </row>
    <row r="144" spans="1:3" x14ac:dyDescent="0.35">
      <c r="B144" s="2" t="s">
        <v>453</v>
      </c>
      <c r="C144" s="2" t="s">
        <v>472</v>
      </c>
    </row>
    <row r="145" spans="1:6" x14ac:dyDescent="0.35">
      <c r="B145" s="2" t="s">
        <v>455</v>
      </c>
      <c r="C145" s="3">
        <f>(C143-C141)/C142</f>
        <v>0.33333333333333331</v>
      </c>
      <c r="E145" s="2" t="s">
        <v>456</v>
      </c>
      <c r="F145" s="2">
        <v>0.1293</v>
      </c>
    </row>
    <row r="146" spans="1:6" x14ac:dyDescent="0.35">
      <c r="B146" s="2" t="s">
        <v>457</v>
      </c>
      <c r="C146" s="28" t="s">
        <v>472</v>
      </c>
      <c r="E146" s="2" t="s">
        <v>458</v>
      </c>
      <c r="F146" s="2">
        <v>0.5</v>
      </c>
    </row>
    <row r="149" spans="1:6" x14ac:dyDescent="0.35">
      <c r="C149" s="2" t="s">
        <v>459</v>
      </c>
      <c r="D149" s="2">
        <f>F146-F145</f>
        <v>0.37070000000000003</v>
      </c>
    </row>
    <row r="150" spans="1:6" x14ac:dyDescent="0.35">
      <c r="A150" s="1" t="s">
        <v>473</v>
      </c>
    </row>
    <row r="154" spans="1:6" x14ac:dyDescent="0.35">
      <c r="B154" s="2" t="s">
        <v>470</v>
      </c>
      <c r="C154" s="2">
        <v>500</v>
      </c>
    </row>
    <row r="155" spans="1:6" x14ac:dyDescent="0.35">
      <c r="B155" s="2" t="s">
        <v>471</v>
      </c>
      <c r="C155" s="2">
        <v>60</v>
      </c>
    </row>
    <row r="156" spans="1:6" x14ac:dyDescent="0.35">
      <c r="B156" s="2" t="s">
        <v>452</v>
      </c>
      <c r="C156" s="2">
        <v>0</v>
      </c>
    </row>
    <row r="157" spans="1:6" x14ac:dyDescent="0.35">
      <c r="B157" s="2" t="s">
        <v>453</v>
      </c>
      <c r="C157" s="2">
        <v>450</v>
      </c>
    </row>
    <row r="158" spans="1:6" x14ac:dyDescent="0.35">
      <c r="B158" s="2" t="s">
        <v>455</v>
      </c>
      <c r="C158" s="3">
        <f>(C156-C154)/C155</f>
        <v>-8.3333333333333339</v>
      </c>
      <c r="E158" s="2" t="s">
        <v>456</v>
      </c>
      <c r="F158" s="2">
        <f>-0.5</f>
        <v>-0.5</v>
      </c>
    </row>
    <row r="159" spans="1:6" x14ac:dyDescent="0.35">
      <c r="B159" s="2" t="s">
        <v>457</v>
      </c>
      <c r="C159" s="3">
        <f>(C157-C154)/C155</f>
        <v>-0.83333333333333337</v>
      </c>
      <c r="E159" s="2" t="s">
        <v>458</v>
      </c>
      <c r="F159" s="2">
        <f>-0.2967</f>
        <v>-0.29670000000000002</v>
      </c>
    </row>
    <row r="162" spans="1:6" x14ac:dyDescent="0.35">
      <c r="C162" s="2" t="s">
        <v>459</v>
      </c>
      <c r="D162" s="2">
        <f>F159-F158</f>
        <v>0.20329999999999998</v>
      </c>
    </row>
    <row r="163" spans="1:6" x14ac:dyDescent="0.35">
      <c r="A163" s="1" t="s">
        <v>474</v>
      </c>
    </row>
    <row r="167" spans="1:6" x14ac:dyDescent="0.35">
      <c r="B167" s="2" t="s">
        <v>470</v>
      </c>
      <c r="C167" s="2">
        <v>500</v>
      </c>
    </row>
    <row r="168" spans="1:6" x14ac:dyDescent="0.35">
      <c r="B168" s="2" t="s">
        <v>471</v>
      </c>
      <c r="C168" s="2">
        <v>60</v>
      </c>
    </row>
    <row r="169" spans="1:6" x14ac:dyDescent="0.35">
      <c r="B169" s="2" t="s">
        <v>452</v>
      </c>
      <c r="C169" s="2">
        <v>440</v>
      </c>
    </row>
    <row r="170" spans="1:6" x14ac:dyDescent="0.35">
      <c r="B170" s="2" t="s">
        <v>453</v>
      </c>
      <c r="C170" s="2">
        <v>580</v>
      </c>
    </row>
    <row r="171" spans="1:6" x14ac:dyDescent="0.35">
      <c r="B171" s="2" t="s">
        <v>455</v>
      </c>
      <c r="C171" s="3">
        <f>(C169-C167)/C168</f>
        <v>-1</v>
      </c>
      <c r="E171" s="2" t="s">
        <v>456</v>
      </c>
      <c r="F171" s="2">
        <f>-0.3413</f>
        <v>-0.34129999999999999</v>
      </c>
    </row>
    <row r="172" spans="1:6" x14ac:dyDescent="0.35">
      <c r="B172" s="2" t="s">
        <v>457</v>
      </c>
      <c r="C172" s="3">
        <f>(C170-C167)/C168</f>
        <v>1.3333333333333333</v>
      </c>
      <c r="E172" s="2" t="s">
        <v>458</v>
      </c>
      <c r="F172" s="2">
        <v>0.40820000000000001</v>
      </c>
    </row>
    <row r="175" spans="1:6" x14ac:dyDescent="0.35">
      <c r="C175" s="2" t="s">
        <v>459</v>
      </c>
      <c r="D175" s="2">
        <f>F172-F171</f>
        <v>0.74950000000000006</v>
      </c>
    </row>
    <row r="176" spans="1:6" x14ac:dyDescent="0.35">
      <c r="A176" s="1" t="s">
        <v>475</v>
      </c>
    </row>
    <row r="180" spans="1:6" x14ac:dyDescent="0.35">
      <c r="B180" s="2" t="s">
        <v>470</v>
      </c>
      <c r="C180" s="2">
        <v>500</v>
      </c>
    </row>
    <row r="181" spans="1:6" x14ac:dyDescent="0.35">
      <c r="B181" s="2" t="s">
        <v>471</v>
      </c>
      <c r="C181" s="2">
        <v>60</v>
      </c>
    </row>
    <row r="182" spans="1:6" x14ac:dyDescent="0.35">
      <c r="B182" s="2" t="s">
        <v>452</v>
      </c>
      <c r="C182" s="2">
        <f>C180-3*C181</f>
        <v>320</v>
      </c>
    </row>
    <row r="183" spans="1:6" x14ac:dyDescent="0.35">
      <c r="B183" s="2" t="s">
        <v>453</v>
      </c>
      <c r="C183" s="2">
        <f>C180+3*C181</f>
        <v>680</v>
      </c>
    </row>
    <row r="184" spans="1:6" x14ac:dyDescent="0.35">
      <c r="B184" s="2" t="s">
        <v>455</v>
      </c>
      <c r="C184" s="3">
        <f>(C182-C180)/C181</f>
        <v>-3</v>
      </c>
      <c r="E184" s="2" t="s">
        <v>456</v>
      </c>
      <c r="F184" s="2">
        <f>-0.49865</f>
        <v>-0.49864999999999998</v>
      </c>
    </row>
    <row r="185" spans="1:6" x14ac:dyDescent="0.35">
      <c r="B185" s="2" t="s">
        <v>457</v>
      </c>
      <c r="C185" s="3">
        <f>(C183-C180)/C181</f>
        <v>3</v>
      </c>
      <c r="E185" s="2" t="s">
        <v>458</v>
      </c>
      <c r="F185" s="2">
        <v>0.49864999999999998</v>
      </c>
    </row>
    <row r="188" spans="1:6" x14ac:dyDescent="0.35">
      <c r="C188" s="2" t="s">
        <v>459</v>
      </c>
      <c r="D188" s="2">
        <f>F185-F184</f>
        <v>0.99729999999999996</v>
      </c>
    </row>
    <row r="189" spans="1:6" x14ac:dyDescent="0.35">
      <c r="A189" s="1" t="s">
        <v>476</v>
      </c>
    </row>
    <row r="193" spans="1:3" x14ac:dyDescent="0.35">
      <c r="B193" s="2" t="s">
        <v>470</v>
      </c>
      <c r="C193" s="2">
        <v>500</v>
      </c>
    </row>
    <row r="194" spans="1:3" x14ac:dyDescent="0.35">
      <c r="B194" s="2" t="s">
        <v>471</v>
      </c>
      <c r="C194" s="2">
        <v>60</v>
      </c>
    </row>
    <row r="195" spans="1:3" x14ac:dyDescent="0.35">
      <c r="B195" s="2" t="s">
        <v>452</v>
      </c>
      <c r="C195" s="2" t="s">
        <v>477</v>
      </c>
    </row>
    <row r="196" spans="1:3" x14ac:dyDescent="0.35">
      <c r="B196" s="2" t="s">
        <v>453</v>
      </c>
      <c r="C196" s="2" t="s">
        <v>478</v>
      </c>
    </row>
    <row r="197" spans="1:3" x14ac:dyDescent="0.35">
      <c r="B197" s="2" t="s">
        <v>455</v>
      </c>
      <c r="C197" s="3" t="s">
        <v>479</v>
      </c>
    </row>
    <row r="198" spans="1:3" x14ac:dyDescent="0.35">
      <c r="B198" s="2" t="s">
        <v>457</v>
      </c>
      <c r="C198" s="3" t="s">
        <v>480</v>
      </c>
    </row>
    <row r="200" spans="1:3" x14ac:dyDescent="0.35">
      <c r="B200" s="57" t="s">
        <v>481</v>
      </c>
    </row>
    <row r="201" spans="1:3" x14ac:dyDescent="0.35">
      <c r="B201" s="57" t="s">
        <v>482</v>
      </c>
    </row>
    <row r="202" spans="1:3" x14ac:dyDescent="0.35">
      <c r="B202" s="57" t="s">
        <v>483</v>
      </c>
    </row>
    <row r="203" spans="1:3" x14ac:dyDescent="0.35">
      <c r="B203" s="2" t="s">
        <v>484</v>
      </c>
      <c r="C203" s="7">
        <f>117.6</f>
        <v>117.6</v>
      </c>
    </row>
    <row r="204" spans="1:3" x14ac:dyDescent="0.35">
      <c r="B204" s="2" t="s">
        <v>452</v>
      </c>
      <c r="C204" s="7">
        <f>C193-C203</f>
        <v>382.4</v>
      </c>
    </row>
    <row r="205" spans="1:3" x14ac:dyDescent="0.35">
      <c r="B205" s="2" t="s">
        <v>453</v>
      </c>
      <c r="C205" s="7">
        <f>C193+C203</f>
        <v>617.6</v>
      </c>
    </row>
    <row r="206" spans="1:3" x14ac:dyDescent="0.35">
      <c r="A206" s="1" t="s">
        <v>485</v>
      </c>
    </row>
    <row r="207" spans="1:3" x14ac:dyDescent="0.35">
      <c r="A207" s="1" t="s">
        <v>486</v>
      </c>
    </row>
    <row r="210" spans="1:25" x14ac:dyDescent="0.3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</row>
    <row r="211" spans="1:25" x14ac:dyDescent="0.3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</row>
    <row r="212" spans="1:25" x14ac:dyDescent="0.3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</row>
    <row r="213" spans="1:25" x14ac:dyDescent="0.3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</row>
    <row r="214" spans="1:25" x14ac:dyDescent="0.3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</row>
    <row r="215" spans="1:25" x14ac:dyDescent="0.3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</row>
    <row r="216" spans="1:25" x14ac:dyDescent="0.3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</row>
    <row r="217" spans="1:25" x14ac:dyDescent="0.3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</row>
    <row r="218" spans="1:25" x14ac:dyDescent="0.3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</row>
    <row r="219" spans="1:25" x14ac:dyDescent="0.3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</row>
    <row r="220" spans="1:25" x14ac:dyDescent="0.3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</row>
    <row r="221" spans="1:25" x14ac:dyDescent="0.3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</row>
    <row r="222" spans="1:25" x14ac:dyDescent="0.3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</row>
    <row r="223" spans="1:25" x14ac:dyDescent="0.3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</row>
    <row r="224" spans="1:25" x14ac:dyDescent="0.3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</row>
    <row r="225" spans="1:25" x14ac:dyDescent="0.3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</row>
    <row r="226" spans="1:25" x14ac:dyDescent="0.3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</row>
    <row r="227" spans="1:25" x14ac:dyDescent="0.3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</row>
    <row r="228" spans="1:25" x14ac:dyDescent="0.3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</row>
    <row r="229" spans="1:25" x14ac:dyDescent="0.3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</row>
    <row r="230" spans="1:25" x14ac:dyDescent="0.3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</row>
    <row r="231" spans="1:25" x14ac:dyDescent="0.3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</row>
    <row r="232" spans="1:25" x14ac:dyDescent="0.3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</row>
    <row r="233" spans="1:25" x14ac:dyDescent="0.3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</row>
    <row r="234" spans="1:25" x14ac:dyDescent="0.3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</row>
    <row r="235" spans="1:25" x14ac:dyDescent="0.3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</row>
    <row r="236" spans="1:25" x14ac:dyDescent="0.3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</row>
    <row r="237" spans="1:25" x14ac:dyDescent="0.3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</row>
    <row r="238" spans="1:25" x14ac:dyDescent="0.3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</row>
    <row r="239" spans="1:25" x14ac:dyDescent="0.3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</row>
    <row r="240" spans="1:25" x14ac:dyDescent="0.3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</row>
    <row r="241" spans="1:25" x14ac:dyDescent="0.3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</row>
    <row r="242" spans="1:25" x14ac:dyDescent="0.3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</row>
    <row r="243" spans="1:25" x14ac:dyDescent="0.3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</row>
    <row r="244" spans="1:25" x14ac:dyDescent="0.3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</row>
    <row r="245" spans="1:25" x14ac:dyDescent="0.3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</row>
    <row r="246" spans="1:25" x14ac:dyDescent="0.3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</row>
    <row r="247" spans="1:25" x14ac:dyDescent="0.3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</row>
    <row r="248" spans="1:25" x14ac:dyDescent="0.3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</row>
    <row r="249" spans="1:25" x14ac:dyDescent="0.3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</row>
    <row r="250" spans="1:25" x14ac:dyDescent="0.3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</row>
    <row r="251" spans="1:25" x14ac:dyDescent="0.3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</row>
    <row r="252" spans="1:25" x14ac:dyDescent="0.3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</row>
    <row r="253" spans="1:25" x14ac:dyDescent="0.3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</row>
    <row r="254" spans="1:25" x14ac:dyDescent="0.3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</row>
    <row r="255" spans="1:25" x14ac:dyDescent="0.3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</row>
    <row r="256" spans="1:25" x14ac:dyDescent="0.3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</row>
    <row r="257" spans="1:25" x14ac:dyDescent="0.3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</row>
    <row r="258" spans="1:25" x14ac:dyDescent="0.3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</row>
    <row r="259" spans="1:25" x14ac:dyDescent="0.3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</row>
    <row r="260" spans="1:25" x14ac:dyDescent="0.3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</row>
    <row r="261" spans="1:25" x14ac:dyDescent="0.3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</row>
    <row r="262" spans="1:25" x14ac:dyDescent="0.3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</row>
    <row r="263" spans="1:25" x14ac:dyDescent="0.3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</row>
    <row r="264" spans="1:25" x14ac:dyDescent="0.3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</row>
    <row r="265" spans="1:25" x14ac:dyDescent="0.3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</row>
    <row r="266" spans="1:25" x14ac:dyDescent="0.3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</row>
    <row r="267" spans="1:25" x14ac:dyDescent="0.3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</row>
    <row r="268" spans="1:25" x14ac:dyDescent="0.3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</row>
    <row r="269" spans="1:25" x14ac:dyDescent="0.3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</row>
    <row r="270" spans="1:25" x14ac:dyDescent="0.3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</row>
    <row r="271" spans="1:25" x14ac:dyDescent="0.3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</row>
    <row r="272" spans="1:25" x14ac:dyDescent="0.3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</row>
    <row r="273" spans="1:25" x14ac:dyDescent="0.3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</row>
    <row r="274" spans="1:25" x14ac:dyDescent="0.3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</row>
    <row r="275" spans="1:25" x14ac:dyDescent="0.3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</row>
    <row r="276" spans="1:25" x14ac:dyDescent="0.3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</row>
    <row r="277" spans="1:25" x14ac:dyDescent="0.3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</row>
    <row r="278" spans="1:25" x14ac:dyDescent="0.3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</row>
    <row r="279" spans="1:25" x14ac:dyDescent="0.3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</row>
    <row r="280" spans="1:25" x14ac:dyDescent="0.3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</row>
    <row r="281" spans="1:25" x14ac:dyDescent="0.3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</row>
    <row r="282" spans="1:25" x14ac:dyDescent="0.3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</row>
    <row r="283" spans="1:25" x14ac:dyDescent="0.3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</row>
    <row r="284" spans="1:25" x14ac:dyDescent="0.3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</row>
    <row r="285" spans="1:25" x14ac:dyDescent="0.3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</row>
    <row r="286" spans="1:25" x14ac:dyDescent="0.3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</row>
    <row r="287" spans="1:25" x14ac:dyDescent="0.3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</row>
    <row r="288" spans="1:25" x14ac:dyDescent="0.3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</row>
    <row r="289" spans="1:25" x14ac:dyDescent="0.3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</row>
    <row r="290" spans="1:25" x14ac:dyDescent="0.3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</row>
    <row r="291" spans="1:25" x14ac:dyDescent="0.3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</row>
    <row r="292" spans="1:25" x14ac:dyDescent="0.3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</row>
    <row r="293" spans="1:25" x14ac:dyDescent="0.3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</row>
    <row r="294" spans="1:25" x14ac:dyDescent="0.3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</row>
    <row r="295" spans="1:25" x14ac:dyDescent="0.3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</row>
    <row r="296" spans="1:25" x14ac:dyDescent="0.3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</row>
    <row r="297" spans="1:25" x14ac:dyDescent="0.3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</row>
    <row r="298" spans="1:25" x14ac:dyDescent="0.3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</row>
    <row r="299" spans="1:25" x14ac:dyDescent="0.3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</row>
    <row r="300" spans="1:25" x14ac:dyDescent="0.3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</row>
    <row r="301" spans="1:25" x14ac:dyDescent="0.3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</row>
    <row r="302" spans="1:25" x14ac:dyDescent="0.3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</row>
    <row r="303" spans="1:25" x14ac:dyDescent="0.3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</row>
    <row r="304" spans="1:25" x14ac:dyDescent="0.3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</row>
    <row r="305" spans="1:25" x14ac:dyDescent="0.3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</row>
    <row r="306" spans="1:25" x14ac:dyDescent="0.3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</row>
    <row r="307" spans="1:25" x14ac:dyDescent="0.3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</row>
    <row r="308" spans="1:25" x14ac:dyDescent="0.3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</row>
    <row r="309" spans="1:25" x14ac:dyDescent="0.3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</row>
    <row r="310" spans="1:25" x14ac:dyDescent="0.3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</row>
    <row r="311" spans="1:25" x14ac:dyDescent="0.3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</row>
    <row r="312" spans="1:25" x14ac:dyDescent="0.3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</row>
    <row r="313" spans="1:25" x14ac:dyDescent="0.3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</row>
    <row r="314" spans="1:25" x14ac:dyDescent="0.3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</row>
    <row r="315" spans="1:25" x14ac:dyDescent="0.3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</row>
    <row r="316" spans="1:25" x14ac:dyDescent="0.3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</row>
    <row r="317" spans="1:25" x14ac:dyDescent="0.3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</row>
    <row r="318" spans="1:25" x14ac:dyDescent="0.3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</row>
    <row r="319" spans="1:25" x14ac:dyDescent="0.3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</row>
    <row r="320" spans="1:25" x14ac:dyDescent="0.3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</row>
    <row r="321" spans="1:25" x14ac:dyDescent="0.3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</row>
    <row r="322" spans="1:25" x14ac:dyDescent="0.3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</row>
    <row r="323" spans="1:25" x14ac:dyDescent="0.3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</row>
    <row r="324" spans="1:25" x14ac:dyDescent="0.3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</row>
    <row r="325" spans="1:25" x14ac:dyDescent="0.3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</row>
    <row r="326" spans="1:25" x14ac:dyDescent="0.3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</row>
    <row r="327" spans="1:25" x14ac:dyDescent="0.3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</row>
    <row r="328" spans="1:25" x14ac:dyDescent="0.3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</row>
    <row r="329" spans="1:25" x14ac:dyDescent="0.3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</row>
    <row r="330" spans="1:25" x14ac:dyDescent="0.3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</row>
    <row r="331" spans="1:25" x14ac:dyDescent="0.3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</row>
    <row r="332" spans="1:25" x14ac:dyDescent="0.3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</row>
    <row r="333" spans="1:25" x14ac:dyDescent="0.3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</row>
    <row r="334" spans="1:25" x14ac:dyDescent="0.3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</row>
    <row r="335" spans="1:25" x14ac:dyDescent="0.3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</row>
    <row r="336" spans="1:25" x14ac:dyDescent="0.3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</row>
    <row r="337" spans="1:25" x14ac:dyDescent="0.3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</row>
    <row r="338" spans="1:25" x14ac:dyDescent="0.3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</row>
    <row r="339" spans="1:25" x14ac:dyDescent="0.3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</row>
    <row r="340" spans="1:25" x14ac:dyDescent="0.3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</row>
    <row r="341" spans="1:25" x14ac:dyDescent="0.3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</row>
    <row r="342" spans="1:25" x14ac:dyDescent="0.3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</row>
    <row r="343" spans="1:25" x14ac:dyDescent="0.3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</row>
    <row r="344" spans="1:25" x14ac:dyDescent="0.3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</row>
    <row r="345" spans="1:25" x14ac:dyDescent="0.3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</row>
    <row r="346" spans="1:25" x14ac:dyDescent="0.3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</row>
    <row r="347" spans="1:25" x14ac:dyDescent="0.3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</row>
    <row r="348" spans="1:25" x14ac:dyDescent="0.3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</row>
    <row r="349" spans="1:25" x14ac:dyDescent="0.3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</row>
    <row r="350" spans="1:25" x14ac:dyDescent="0.3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</row>
    <row r="351" spans="1:25" x14ac:dyDescent="0.3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</row>
    <row r="352" spans="1:25" x14ac:dyDescent="0.3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</row>
    <row r="353" spans="1:25" x14ac:dyDescent="0.3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</row>
    <row r="354" spans="1:25" x14ac:dyDescent="0.3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</row>
    <row r="355" spans="1:25" x14ac:dyDescent="0.3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</row>
    <row r="356" spans="1:25" x14ac:dyDescent="0.3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</row>
    <row r="357" spans="1:25" x14ac:dyDescent="0.3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</row>
    <row r="358" spans="1:25" x14ac:dyDescent="0.3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</row>
    <row r="359" spans="1:25" x14ac:dyDescent="0.3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</row>
    <row r="360" spans="1:25" x14ac:dyDescent="0.3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</row>
    <row r="361" spans="1:25" x14ac:dyDescent="0.3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</row>
    <row r="362" spans="1:25" x14ac:dyDescent="0.3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</row>
    <row r="363" spans="1:25" ht="14" customHeight="1" x14ac:dyDescent="0.3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</row>
    <row r="364" spans="1:25" x14ac:dyDescent="0.3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</row>
    <row r="365" spans="1:25" x14ac:dyDescent="0.3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</row>
    <row r="366" spans="1:25" x14ac:dyDescent="0.3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</row>
    <row r="367" spans="1:25" x14ac:dyDescent="0.3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</row>
    <row r="368" spans="1:25" x14ac:dyDescent="0.3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</row>
    <row r="369" spans="1:25" x14ac:dyDescent="0.3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</row>
    <row r="370" spans="1:25" x14ac:dyDescent="0.3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</row>
    <row r="371" spans="1:25" x14ac:dyDescent="0.3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</row>
    <row r="372" spans="1:25" x14ac:dyDescent="0.3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</row>
    <row r="373" spans="1:25" x14ac:dyDescent="0.3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</row>
    <row r="374" spans="1:25" x14ac:dyDescent="0.3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</row>
    <row r="375" spans="1:25" x14ac:dyDescent="0.3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</row>
    <row r="376" spans="1:25" x14ac:dyDescent="0.3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</row>
    <row r="377" spans="1:25" x14ac:dyDescent="0.3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</row>
    <row r="378" spans="1:25" x14ac:dyDescent="0.3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</row>
    <row r="379" spans="1:25" x14ac:dyDescent="0.3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</row>
    <row r="380" spans="1:25" x14ac:dyDescent="0.3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</row>
    <row r="381" spans="1:25" x14ac:dyDescent="0.3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</row>
    <row r="382" spans="1:25" x14ac:dyDescent="0.3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</row>
    <row r="383" spans="1:25" x14ac:dyDescent="0.3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</row>
    <row r="384" spans="1:25" x14ac:dyDescent="0.3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</row>
    <row r="385" spans="1:25" x14ac:dyDescent="0.3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</row>
    <row r="386" spans="1:25" x14ac:dyDescent="0.3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</row>
    <row r="387" spans="1:25" x14ac:dyDescent="0.3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</row>
    <row r="388" spans="1:25" x14ac:dyDescent="0.3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</row>
    <row r="389" spans="1:25" x14ac:dyDescent="0.3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</row>
    <row r="390" spans="1:25" x14ac:dyDescent="0.3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</row>
    <row r="391" spans="1:25" x14ac:dyDescent="0.3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</row>
    <row r="392" spans="1:25" x14ac:dyDescent="0.3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</row>
    <row r="393" spans="1:25" x14ac:dyDescent="0.3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</row>
    <row r="394" spans="1:25" x14ac:dyDescent="0.3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</row>
    <row r="395" spans="1:25" x14ac:dyDescent="0.3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</row>
    <row r="396" spans="1:25" x14ac:dyDescent="0.3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</row>
    <row r="397" spans="1:25" x14ac:dyDescent="0.3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</row>
    <row r="398" spans="1:25" x14ac:dyDescent="0.3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</row>
    <row r="399" spans="1:25" x14ac:dyDescent="0.3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</row>
    <row r="400" spans="1:25" x14ac:dyDescent="0.3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</row>
    <row r="401" spans="1:25" x14ac:dyDescent="0.3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</row>
    <row r="402" spans="1:25" x14ac:dyDescent="0.3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</row>
    <row r="403" spans="1:25" x14ac:dyDescent="0.3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</row>
    <row r="404" spans="1:25" x14ac:dyDescent="0.3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</row>
    <row r="405" spans="1:25" x14ac:dyDescent="0.3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</row>
    <row r="406" spans="1:25" x14ac:dyDescent="0.3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</row>
    <row r="407" spans="1:25" x14ac:dyDescent="0.3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</row>
    <row r="408" spans="1:25" x14ac:dyDescent="0.3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</row>
    <row r="409" spans="1:25" x14ac:dyDescent="0.3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</row>
    <row r="410" spans="1:25" x14ac:dyDescent="0.3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</row>
    <row r="411" spans="1:25" x14ac:dyDescent="0.3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</row>
    <row r="412" spans="1:25" x14ac:dyDescent="0.3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</row>
    <row r="413" spans="1:25" x14ac:dyDescent="0.3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</row>
    <row r="414" spans="1:25" x14ac:dyDescent="0.3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</row>
    <row r="415" spans="1:25" x14ac:dyDescent="0.3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</row>
    <row r="416" spans="1:25" x14ac:dyDescent="0.3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</row>
    <row r="417" spans="1:25" x14ac:dyDescent="0.3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</row>
    <row r="418" spans="1:25" x14ac:dyDescent="0.3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</row>
    <row r="419" spans="1:25" x14ac:dyDescent="0.3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</row>
    <row r="420" spans="1:25" x14ac:dyDescent="0.3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</row>
    <row r="421" spans="1:25" x14ac:dyDescent="0.3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</row>
    <row r="422" spans="1:25" x14ac:dyDescent="0.3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</row>
    <row r="423" spans="1:25" x14ac:dyDescent="0.3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</row>
    <row r="424" spans="1:25" x14ac:dyDescent="0.3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</row>
    <row r="425" spans="1:25" x14ac:dyDescent="0.3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</row>
    <row r="426" spans="1:25" x14ac:dyDescent="0.3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</row>
    <row r="427" spans="1:25" x14ac:dyDescent="0.3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</row>
    <row r="428" spans="1:25" x14ac:dyDescent="0.3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</row>
    <row r="429" spans="1:25" x14ac:dyDescent="0.3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</row>
    <row r="430" spans="1:25" x14ac:dyDescent="0.3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</row>
    <row r="431" spans="1:25" x14ac:dyDescent="0.3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</row>
    <row r="432" spans="1:25" x14ac:dyDescent="0.3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</row>
    <row r="433" spans="1:25" x14ac:dyDescent="0.3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</row>
    <row r="434" spans="1:25" x14ac:dyDescent="0.3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</row>
    <row r="435" spans="1:25" x14ac:dyDescent="0.3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</row>
    <row r="436" spans="1:25" x14ac:dyDescent="0.3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</row>
    <row r="437" spans="1:25" x14ac:dyDescent="0.3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</row>
    <row r="438" spans="1:25" x14ac:dyDescent="0.3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</row>
    <row r="439" spans="1:25" x14ac:dyDescent="0.3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</row>
    <row r="440" spans="1:25" x14ac:dyDescent="0.3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</row>
    <row r="441" spans="1:25" x14ac:dyDescent="0.3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</row>
    <row r="442" spans="1:25" x14ac:dyDescent="0.3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</row>
    <row r="443" spans="1:25" x14ac:dyDescent="0.3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</row>
    <row r="444" spans="1:25" x14ac:dyDescent="0.3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</row>
    <row r="445" spans="1:25" x14ac:dyDescent="0.3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</row>
    <row r="446" spans="1:25" x14ac:dyDescent="0.3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</row>
    <row r="447" spans="1:25" x14ac:dyDescent="0.3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</row>
    <row r="448" spans="1:25" x14ac:dyDescent="0.3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</row>
    <row r="449" spans="1:25" x14ac:dyDescent="0.3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</row>
  </sheetData>
  <pageMargins left="0.7" right="0.7" top="0.75" bottom="0.75" header="0.3" footer="0.3"/>
  <pageSetup paperSize="9" orientation="portrait" horizontalDpi="18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EF7B8-4882-4202-B19F-8912B3163FE2}">
  <dimension ref="A1:K238"/>
  <sheetViews>
    <sheetView topLeftCell="A96" zoomScaleNormal="100" workbookViewId="0">
      <selection activeCell="F143" sqref="F143"/>
    </sheetView>
  </sheetViews>
  <sheetFormatPr defaultRowHeight="14.5" x14ac:dyDescent="0.35"/>
  <cols>
    <col min="1" max="1" width="21.81640625" style="1" customWidth="1"/>
    <col min="2" max="2" width="20.1796875" style="1" customWidth="1"/>
    <col min="3" max="3" width="28" style="1" bestFit="1" customWidth="1"/>
    <col min="4" max="4" width="16.453125" style="1" customWidth="1"/>
    <col min="5" max="5" width="18.26953125" style="1" customWidth="1"/>
    <col min="6" max="6" width="17.7265625" style="1" customWidth="1"/>
    <col min="7" max="7" width="18.453125" style="1" customWidth="1"/>
    <col min="8" max="8" width="18" style="1" customWidth="1"/>
    <col min="9" max="9" width="15.7265625" style="1" customWidth="1"/>
    <col min="10" max="10" width="14.54296875" style="1" customWidth="1"/>
    <col min="11" max="11" width="15.54296875" style="1" customWidth="1"/>
    <col min="12" max="12" width="16.54296875" style="1" customWidth="1"/>
    <col min="13" max="13" width="15.453125" style="1" customWidth="1"/>
    <col min="14" max="16384" width="8.7265625" style="1"/>
  </cols>
  <sheetData>
    <row r="1" spans="1:7" x14ac:dyDescent="0.35">
      <c r="A1" s="1" t="s">
        <v>487</v>
      </c>
    </row>
    <row r="2" spans="1:7" x14ac:dyDescent="0.35">
      <c r="A2" s="1" t="s">
        <v>488</v>
      </c>
    </row>
    <row r="3" spans="1:7" x14ac:dyDescent="0.35">
      <c r="A3" s="1" t="s">
        <v>489</v>
      </c>
    </row>
    <row r="5" spans="1:7" x14ac:dyDescent="0.35">
      <c r="A5" s="58" t="s">
        <v>490</v>
      </c>
      <c r="B5" s="59"/>
      <c r="C5" s="2" t="s">
        <v>491</v>
      </c>
    </row>
    <row r="6" spans="1:7" x14ac:dyDescent="0.35">
      <c r="A6" s="2">
        <v>0</v>
      </c>
      <c r="B6" s="2">
        <v>100</v>
      </c>
      <c r="C6" s="2">
        <v>50</v>
      </c>
      <c r="F6" s="4"/>
      <c r="G6" s="4"/>
    </row>
    <row r="7" spans="1:7" x14ac:dyDescent="0.35">
      <c r="A7" s="2">
        <v>100</v>
      </c>
      <c r="B7" s="2">
        <v>200</v>
      </c>
      <c r="C7" s="2">
        <v>90</v>
      </c>
      <c r="F7" s="4"/>
      <c r="G7" s="4"/>
    </row>
    <row r="8" spans="1:7" x14ac:dyDescent="0.35">
      <c r="A8" s="2">
        <v>200</v>
      </c>
      <c r="B8" s="2">
        <v>300</v>
      </c>
      <c r="C8" s="2">
        <v>200</v>
      </c>
      <c r="F8" s="4"/>
      <c r="G8" s="4"/>
    </row>
    <row r="9" spans="1:7" x14ac:dyDescent="0.35">
      <c r="A9" s="2">
        <v>300</v>
      </c>
      <c r="B9" s="2">
        <v>400</v>
      </c>
      <c r="C9" s="2">
        <v>350</v>
      </c>
      <c r="F9" s="4"/>
      <c r="G9" s="4"/>
    </row>
    <row r="10" spans="1:7" x14ac:dyDescent="0.35">
      <c r="A10" s="2">
        <v>400</v>
      </c>
      <c r="B10" s="2">
        <v>500</v>
      </c>
      <c r="C10" s="2">
        <v>540</v>
      </c>
      <c r="F10" s="4"/>
      <c r="G10" s="4"/>
    </row>
    <row r="11" spans="1:7" x14ac:dyDescent="0.35">
      <c r="A11" s="2">
        <v>500</v>
      </c>
      <c r="B11" s="2">
        <v>600</v>
      </c>
      <c r="C11" s="2">
        <v>180</v>
      </c>
      <c r="F11" s="4"/>
      <c r="G11" s="4"/>
    </row>
    <row r="12" spans="1:7" x14ac:dyDescent="0.35">
      <c r="A12" s="2">
        <v>600</v>
      </c>
      <c r="B12" s="2">
        <v>700</v>
      </c>
      <c r="C12" s="2">
        <v>160</v>
      </c>
      <c r="F12" s="4"/>
      <c r="G12" s="4"/>
    </row>
    <row r="13" spans="1:7" x14ac:dyDescent="0.35">
      <c r="A13" s="2">
        <v>700</v>
      </c>
      <c r="B13" s="2">
        <v>800</v>
      </c>
      <c r="C13" s="2">
        <v>15</v>
      </c>
      <c r="F13" s="4"/>
      <c r="G13" s="4"/>
    </row>
    <row r="15" spans="1:7" x14ac:dyDescent="0.35">
      <c r="A15" s="1" t="s">
        <v>492</v>
      </c>
    </row>
    <row r="16" spans="1:7" x14ac:dyDescent="0.35">
      <c r="A16" s="1" t="s">
        <v>493</v>
      </c>
    </row>
    <row r="18" spans="1:2" x14ac:dyDescent="0.35">
      <c r="A18" s="1" t="s">
        <v>494</v>
      </c>
    </row>
    <row r="31" spans="1:2" x14ac:dyDescent="0.35">
      <c r="A31" s="1" t="s">
        <v>495</v>
      </c>
    </row>
    <row r="32" spans="1:2" x14ac:dyDescent="0.35">
      <c r="A32" s="2" t="s">
        <v>496</v>
      </c>
      <c r="B32" s="2" t="s">
        <v>372</v>
      </c>
    </row>
    <row r="33" spans="1:7" x14ac:dyDescent="0.35">
      <c r="A33" s="2">
        <f>(A6+B6)/2</f>
        <v>50</v>
      </c>
      <c r="B33" s="2">
        <f>C6</f>
        <v>50</v>
      </c>
      <c r="D33" s="2" t="s">
        <v>497</v>
      </c>
      <c r="E33" s="2">
        <f>AVERAGE(A33:A40)</f>
        <v>400</v>
      </c>
    </row>
    <row r="34" spans="1:7" x14ac:dyDescent="0.35">
      <c r="A34" s="2">
        <f t="shared" ref="A34:A40" si="0">(A7+B7)/2</f>
        <v>150</v>
      </c>
      <c r="B34" s="2">
        <f t="shared" ref="B34:B40" si="1">C7</f>
        <v>90</v>
      </c>
      <c r="D34" s="2" t="s">
        <v>498</v>
      </c>
      <c r="E34" s="3">
        <f>STDEV(A33:A40)</f>
        <v>244.94897427831782</v>
      </c>
    </row>
    <row r="35" spans="1:7" x14ac:dyDescent="0.35">
      <c r="A35" s="2">
        <f t="shared" si="0"/>
        <v>250</v>
      </c>
      <c r="B35" s="2">
        <f t="shared" si="1"/>
        <v>200</v>
      </c>
    </row>
    <row r="36" spans="1:7" x14ac:dyDescent="0.35">
      <c r="A36" s="2">
        <f t="shared" si="0"/>
        <v>350</v>
      </c>
      <c r="B36" s="2">
        <f t="shared" si="1"/>
        <v>350</v>
      </c>
    </row>
    <row r="37" spans="1:7" x14ac:dyDescent="0.35">
      <c r="A37" s="2">
        <f t="shared" si="0"/>
        <v>450</v>
      </c>
      <c r="B37" s="2">
        <f t="shared" si="1"/>
        <v>540</v>
      </c>
    </row>
    <row r="38" spans="1:7" x14ac:dyDescent="0.35">
      <c r="A38" s="2">
        <f t="shared" si="0"/>
        <v>550</v>
      </c>
      <c r="B38" s="2">
        <f t="shared" si="1"/>
        <v>180</v>
      </c>
    </row>
    <row r="39" spans="1:7" x14ac:dyDescent="0.35">
      <c r="A39" s="2">
        <f t="shared" si="0"/>
        <v>650</v>
      </c>
      <c r="B39" s="2">
        <f t="shared" si="1"/>
        <v>160</v>
      </c>
    </row>
    <row r="40" spans="1:7" x14ac:dyDescent="0.35">
      <c r="A40" s="2">
        <f t="shared" si="0"/>
        <v>750</v>
      </c>
      <c r="B40" s="2">
        <f t="shared" si="1"/>
        <v>15</v>
      </c>
    </row>
    <row r="43" spans="1:7" x14ac:dyDescent="0.35">
      <c r="A43" s="1" t="s">
        <v>499</v>
      </c>
    </row>
    <row r="44" spans="1:7" x14ac:dyDescent="0.35">
      <c r="A44" s="2" t="s">
        <v>496</v>
      </c>
      <c r="B44" s="2" t="s">
        <v>372</v>
      </c>
      <c r="C44" s="2" t="s">
        <v>500</v>
      </c>
      <c r="D44" s="2" t="s">
        <v>501</v>
      </c>
      <c r="E44" s="2" t="s">
        <v>502</v>
      </c>
      <c r="F44" s="2" t="s">
        <v>503</v>
      </c>
      <c r="G44" s="2" t="s">
        <v>504</v>
      </c>
    </row>
    <row r="45" spans="1:7" x14ac:dyDescent="0.35">
      <c r="A45" s="2">
        <f>A33</f>
        <v>50</v>
      </c>
      <c r="B45" s="2">
        <f>B33</f>
        <v>50</v>
      </c>
      <c r="C45" s="3">
        <f>(A33-$E$33)/($E$34)</f>
        <v>-1.4288690166235205</v>
      </c>
      <c r="D45" s="19">
        <v>-0.42359999999999998</v>
      </c>
      <c r="E45" s="19">
        <f>0.5+D45</f>
        <v>7.6400000000000023E-2</v>
      </c>
      <c r="F45" s="30">
        <f>E45*$B$54</f>
        <v>121.09400000000004</v>
      </c>
      <c r="G45" s="3">
        <f>((B45-F45)^2)/2</f>
        <v>2527.1784180000027</v>
      </c>
    </row>
    <row r="46" spans="1:7" x14ac:dyDescent="0.35">
      <c r="A46" s="2">
        <f t="shared" ref="A46:B52" si="2">A34</f>
        <v>150</v>
      </c>
      <c r="B46" s="2">
        <f t="shared" si="2"/>
        <v>90</v>
      </c>
      <c r="C46" s="3">
        <f t="shared" ref="C46:C52" si="3">(A34-$E$33)/($E$34)</f>
        <v>-1.0206207261596576</v>
      </c>
      <c r="D46" s="19">
        <v>-0.34610000000000002</v>
      </c>
      <c r="E46" s="19">
        <f>D47-D46</f>
        <v>0.11700000000000002</v>
      </c>
      <c r="F46" s="30">
        <f t="shared" ref="F46:F52" si="4">E46*$B$54</f>
        <v>185.44500000000002</v>
      </c>
      <c r="G46" s="3">
        <f t="shared" ref="G46:G52" si="5">((B46-F46)^2)/2</f>
        <v>4554.8740125000022</v>
      </c>
    </row>
    <row r="47" spans="1:7" x14ac:dyDescent="0.35">
      <c r="A47" s="2">
        <f t="shared" si="2"/>
        <v>250</v>
      </c>
      <c r="B47" s="2">
        <f t="shared" si="2"/>
        <v>200</v>
      </c>
      <c r="C47" s="3">
        <f t="shared" si="3"/>
        <v>-0.61237243569579447</v>
      </c>
      <c r="D47" s="19">
        <v>-0.2291</v>
      </c>
      <c r="E47" s="19">
        <f t="shared" ref="E47:E51" si="6">D48-D47</f>
        <v>0.14979999999999999</v>
      </c>
      <c r="F47" s="30">
        <f t="shared" si="4"/>
        <v>237.43299999999999</v>
      </c>
      <c r="G47" s="3">
        <f t="shared" si="5"/>
        <v>700.61474449999969</v>
      </c>
    </row>
    <row r="48" spans="1:7" x14ac:dyDescent="0.35">
      <c r="A48" s="2">
        <f t="shared" si="2"/>
        <v>350</v>
      </c>
      <c r="B48" s="2">
        <f t="shared" si="2"/>
        <v>350</v>
      </c>
      <c r="C48" s="3">
        <f t="shared" si="3"/>
        <v>-0.20412414523193151</v>
      </c>
      <c r="D48" s="19">
        <v>-7.9299999999999995E-2</v>
      </c>
      <c r="E48" s="19">
        <f t="shared" si="6"/>
        <v>0.15859999999999999</v>
      </c>
      <c r="F48" s="30">
        <f t="shared" si="4"/>
        <v>251.38099999999997</v>
      </c>
      <c r="G48" s="3">
        <f t="shared" si="5"/>
        <v>4862.8535805000029</v>
      </c>
    </row>
    <row r="49" spans="1:7" x14ac:dyDescent="0.35">
      <c r="A49" s="2">
        <f t="shared" si="2"/>
        <v>450</v>
      </c>
      <c r="B49" s="2">
        <f t="shared" si="2"/>
        <v>540</v>
      </c>
      <c r="C49" s="3">
        <f t="shared" si="3"/>
        <v>0.20412414523193151</v>
      </c>
      <c r="D49" s="19">
        <v>7.9299999999999995E-2</v>
      </c>
      <c r="E49" s="19">
        <f t="shared" si="6"/>
        <v>0.14979999999999999</v>
      </c>
      <c r="F49" s="30">
        <f t="shared" si="4"/>
        <v>237.43299999999999</v>
      </c>
      <c r="G49" s="3">
        <f t="shared" si="5"/>
        <v>45773.394744500001</v>
      </c>
    </row>
    <row r="50" spans="1:7" x14ac:dyDescent="0.35">
      <c r="A50" s="2">
        <f t="shared" si="2"/>
        <v>550</v>
      </c>
      <c r="B50" s="2">
        <f t="shared" si="2"/>
        <v>180</v>
      </c>
      <c r="C50" s="3">
        <f t="shared" si="3"/>
        <v>0.61237243569579447</v>
      </c>
      <c r="D50" s="19">
        <v>0.2291</v>
      </c>
      <c r="E50" s="19">
        <f t="shared" si="6"/>
        <v>0.11700000000000002</v>
      </c>
      <c r="F50" s="30">
        <f t="shared" si="4"/>
        <v>185.44500000000002</v>
      </c>
      <c r="G50" s="3">
        <f t="shared" si="5"/>
        <v>14.824012500000117</v>
      </c>
    </row>
    <row r="51" spans="1:7" x14ac:dyDescent="0.35">
      <c r="A51" s="2">
        <f t="shared" si="2"/>
        <v>650</v>
      </c>
      <c r="B51" s="2">
        <f t="shared" si="2"/>
        <v>160</v>
      </c>
      <c r="C51" s="3">
        <f t="shared" si="3"/>
        <v>1.0206207261596576</v>
      </c>
      <c r="D51" s="19">
        <v>0.34610000000000002</v>
      </c>
      <c r="E51" s="19">
        <f t="shared" si="6"/>
        <v>7.7499999999999958E-2</v>
      </c>
      <c r="F51" s="30">
        <f t="shared" si="4"/>
        <v>122.83749999999993</v>
      </c>
      <c r="G51" s="3">
        <f t="shared" si="5"/>
        <v>690.52570312500245</v>
      </c>
    </row>
    <row r="52" spans="1:7" x14ac:dyDescent="0.35">
      <c r="A52" s="2">
        <f t="shared" si="2"/>
        <v>750</v>
      </c>
      <c r="B52" s="2">
        <f t="shared" si="2"/>
        <v>15</v>
      </c>
      <c r="C52" s="3">
        <f t="shared" si="3"/>
        <v>1.4288690166235205</v>
      </c>
      <c r="D52" s="19">
        <v>0.42359999999999998</v>
      </c>
      <c r="E52" s="19">
        <f>0.5-D52</f>
        <v>7.6400000000000023E-2</v>
      </c>
      <c r="F52" s="30">
        <f t="shared" si="4"/>
        <v>121.09400000000004</v>
      </c>
      <c r="G52" s="3">
        <f t="shared" si="5"/>
        <v>5627.968418000004</v>
      </c>
    </row>
    <row r="53" spans="1:7" x14ac:dyDescent="0.35">
      <c r="D53" s="25"/>
      <c r="E53" s="25"/>
    </row>
    <row r="54" spans="1:7" x14ac:dyDescent="0.35">
      <c r="A54" s="7" t="s">
        <v>505</v>
      </c>
      <c r="B54" s="2">
        <f>SUM(B45:B52)</f>
        <v>1585</v>
      </c>
      <c r="E54" s="25"/>
      <c r="F54" s="7" t="s">
        <v>506</v>
      </c>
      <c r="G54" s="6">
        <f>SUM(G45:G52)</f>
        <v>64752.233633625016</v>
      </c>
    </row>
    <row r="55" spans="1:7" x14ac:dyDescent="0.35">
      <c r="D55" s="25"/>
    </row>
    <row r="56" spans="1:7" x14ac:dyDescent="0.35">
      <c r="F56" s="7" t="s">
        <v>507</v>
      </c>
      <c r="G56" s="6">
        <f>CHIINV(0.05,8-2)</f>
        <v>12.591587243743978</v>
      </c>
    </row>
    <row r="58" spans="1:7" x14ac:dyDescent="0.35">
      <c r="C58" s="1" t="s">
        <v>508</v>
      </c>
    </row>
    <row r="60" spans="1:7" x14ac:dyDescent="0.35">
      <c r="A60" s="1" t="s">
        <v>509</v>
      </c>
    </row>
    <row r="61" spans="1:7" x14ac:dyDescent="0.35">
      <c r="A61" s="1" t="s">
        <v>510</v>
      </c>
    </row>
    <row r="62" spans="1:7" x14ac:dyDescent="0.35">
      <c r="A62" s="1" t="s">
        <v>511</v>
      </c>
    </row>
    <row r="63" spans="1:7" x14ac:dyDescent="0.35">
      <c r="A63" s="1" t="s">
        <v>512</v>
      </c>
    </row>
    <row r="64" spans="1:7" x14ac:dyDescent="0.35">
      <c r="A64" s="1" t="s">
        <v>513</v>
      </c>
    </row>
    <row r="65" spans="1:3" x14ac:dyDescent="0.35">
      <c r="A65" s="1" t="s">
        <v>514</v>
      </c>
    </row>
    <row r="71" spans="1:3" x14ac:dyDescent="0.35">
      <c r="A71" s="1" t="s">
        <v>515</v>
      </c>
    </row>
    <row r="72" spans="1:3" x14ac:dyDescent="0.35">
      <c r="A72" s="1" t="s">
        <v>516</v>
      </c>
    </row>
    <row r="73" spans="1:3" x14ac:dyDescent="0.35">
      <c r="A73" s="1" t="s">
        <v>517</v>
      </c>
    </row>
    <row r="75" spans="1:3" x14ac:dyDescent="0.35">
      <c r="A75" s="1" t="s">
        <v>135</v>
      </c>
    </row>
    <row r="76" spans="1:3" x14ac:dyDescent="0.35">
      <c r="B76" s="2" t="s">
        <v>518</v>
      </c>
      <c r="C76" s="2">
        <v>1000</v>
      </c>
    </row>
    <row r="77" spans="1:3" x14ac:dyDescent="0.35">
      <c r="B77" s="2" t="s">
        <v>519</v>
      </c>
      <c r="C77" s="2">
        <f>1/C76</f>
        <v>1E-3</v>
      </c>
    </row>
    <row r="79" spans="1:3" x14ac:dyDescent="0.35">
      <c r="A79" s="1" t="s">
        <v>520</v>
      </c>
    </row>
    <row r="81" spans="1:5" x14ac:dyDescent="0.35">
      <c r="B81" s="2" t="s">
        <v>521</v>
      </c>
      <c r="C81" s="19">
        <f>1-EXP(-C77*500)</f>
        <v>0.39346934028736658</v>
      </c>
    </row>
    <row r="82" spans="1:5" x14ac:dyDescent="0.35">
      <c r="B82" s="2" t="s">
        <v>522</v>
      </c>
      <c r="C82" s="19">
        <f>1-EXP(-C77*0)</f>
        <v>0</v>
      </c>
    </row>
    <row r="83" spans="1:5" x14ac:dyDescent="0.35">
      <c r="B83" s="2" t="s">
        <v>523</v>
      </c>
      <c r="C83" s="19">
        <f>C81-C82</f>
        <v>0.39346934028736658</v>
      </c>
    </row>
    <row r="85" spans="1:5" x14ac:dyDescent="0.35">
      <c r="B85" s="1" t="s">
        <v>524</v>
      </c>
    </row>
    <row r="87" spans="1:5" x14ac:dyDescent="0.35">
      <c r="A87" s="1" t="s">
        <v>138</v>
      </c>
    </row>
    <row r="88" spans="1:5" x14ac:dyDescent="0.35">
      <c r="A88" s="2" t="s">
        <v>525</v>
      </c>
      <c r="B88" s="2" t="s">
        <v>526</v>
      </c>
      <c r="D88" s="2" t="s">
        <v>525</v>
      </c>
      <c r="E88" s="2" t="s">
        <v>527</v>
      </c>
    </row>
    <row r="89" spans="1:5" x14ac:dyDescent="0.35">
      <c r="A89" s="2">
        <v>0</v>
      </c>
      <c r="B89" s="19">
        <f>1-EXP(-$C$77*A89)</f>
        <v>0</v>
      </c>
      <c r="D89" s="2">
        <v>0</v>
      </c>
      <c r="E89" s="60">
        <f>$C$77*EXP(-$C$77*D89)</f>
        <v>1E-3</v>
      </c>
    </row>
    <row r="90" spans="1:5" x14ac:dyDescent="0.35">
      <c r="A90" s="2">
        <v>50</v>
      </c>
      <c r="B90" s="19">
        <f t="shared" ref="B90:B101" si="7">1-EXP(-$C$77*A90)</f>
        <v>4.8770575499285984E-2</v>
      </c>
      <c r="D90" s="2">
        <v>50</v>
      </c>
      <c r="E90" s="60">
        <f t="shared" ref="E90:E101" si="8">$C$77*EXP(-$C$77*D90)</f>
        <v>9.5122942450071404E-4</v>
      </c>
    </row>
    <row r="91" spans="1:5" x14ac:dyDescent="0.35">
      <c r="A91" s="2">
        <v>100</v>
      </c>
      <c r="B91" s="19">
        <f t="shared" si="7"/>
        <v>9.5162581964040482E-2</v>
      </c>
      <c r="D91" s="2">
        <v>100</v>
      </c>
      <c r="E91" s="60">
        <f t="shared" si="8"/>
        <v>9.048374180359595E-4</v>
      </c>
    </row>
    <row r="92" spans="1:5" x14ac:dyDescent="0.35">
      <c r="A92" s="2">
        <v>150</v>
      </c>
      <c r="B92" s="19">
        <f t="shared" si="7"/>
        <v>0.13929202357494219</v>
      </c>
      <c r="D92" s="2">
        <v>150</v>
      </c>
      <c r="E92" s="60">
        <f t="shared" si="8"/>
        <v>8.6070797642505783E-4</v>
      </c>
    </row>
    <row r="93" spans="1:5" x14ac:dyDescent="0.35">
      <c r="A93" s="2">
        <v>200</v>
      </c>
      <c r="B93" s="19">
        <f t="shared" si="7"/>
        <v>0.18126924692201818</v>
      </c>
      <c r="D93" s="2">
        <v>200</v>
      </c>
      <c r="E93" s="60">
        <f t="shared" si="8"/>
        <v>8.1873075307798185E-4</v>
      </c>
    </row>
    <row r="94" spans="1:5" x14ac:dyDescent="0.35">
      <c r="A94" s="2">
        <v>250</v>
      </c>
      <c r="B94" s="19">
        <f t="shared" si="7"/>
        <v>0.22119921692859512</v>
      </c>
      <c r="D94" s="2">
        <v>250</v>
      </c>
      <c r="E94" s="60">
        <f t="shared" si="8"/>
        <v>7.7880078307140488E-4</v>
      </c>
    </row>
    <row r="95" spans="1:5" x14ac:dyDescent="0.35">
      <c r="A95" s="2">
        <v>300</v>
      </c>
      <c r="B95" s="19">
        <f t="shared" si="7"/>
        <v>0.25918177931828212</v>
      </c>
      <c r="D95" s="2">
        <v>300</v>
      </c>
      <c r="E95" s="60">
        <f t="shared" si="8"/>
        <v>7.4081822068171788E-4</v>
      </c>
    </row>
    <row r="96" spans="1:5" x14ac:dyDescent="0.35">
      <c r="A96" s="2">
        <v>350</v>
      </c>
      <c r="B96" s="19">
        <f t="shared" si="7"/>
        <v>0.29531191028128656</v>
      </c>
      <c r="D96" s="2">
        <v>350</v>
      </c>
      <c r="E96" s="60">
        <f t="shared" si="8"/>
        <v>7.0468808971871344E-4</v>
      </c>
    </row>
    <row r="97" spans="1:5" x14ac:dyDescent="0.35">
      <c r="A97" s="2">
        <v>400</v>
      </c>
      <c r="B97" s="19">
        <f t="shared" si="7"/>
        <v>0.32967995396436067</v>
      </c>
      <c r="D97" s="2">
        <v>400</v>
      </c>
      <c r="E97" s="60">
        <f t="shared" si="8"/>
        <v>6.7032004603563935E-4</v>
      </c>
    </row>
    <row r="98" spans="1:5" x14ac:dyDescent="0.35">
      <c r="A98" s="2">
        <v>450</v>
      </c>
      <c r="B98" s="19">
        <f t="shared" si="7"/>
        <v>0.36237184837822667</v>
      </c>
      <c r="D98" s="2">
        <v>450</v>
      </c>
      <c r="E98" s="60">
        <f t="shared" si="8"/>
        <v>6.376281516217733E-4</v>
      </c>
    </row>
    <row r="99" spans="1:5" x14ac:dyDescent="0.35">
      <c r="A99" s="2">
        <v>500</v>
      </c>
      <c r="B99" s="19">
        <f t="shared" si="7"/>
        <v>0.39346934028736658</v>
      </c>
      <c r="D99" s="2">
        <v>500</v>
      </c>
      <c r="E99" s="60">
        <f t="shared" si="8"/>
        <v>6.0653065971263346E-4</v>
      </c>
    </row>
    <row r="100" spans="1:5" x14ac:dyDescent="0.35">
      <c r="A100" s="2">
        <v>550</v>
      </c>
      <c r="B100" s="19">
        <f t="shared" si="7"/>
        <v>0.42305018961951335</v>
      </c>
      <c r="D100" s="2">
        <v>550</v>
      </c>
      <c r="E100" s="60">
        <f t="shared" si="8"/>
        <v>5.7694981038048667E-4</v>
      </c>
    </row>
    <row r="101" spans="1:5" x14ac:dyDescent="0.35">
      <c r="A101" s="2">
        <v>600</v>
      </c>
      <c r="B101" s="19">
        <f t="shared" si="7"/>
        <v>0.45118836390597361</v>
      </c>
      <c r="D101" s="2">
        <v>600</v>
      </c>
      <c r="E101" s="60">
        <f t="shared" si="8"/>
        <v>5.4881163609402637E-4</v>
      </c>
    </row>
    <row r="128" spans="1:1" x14ac:dyDescent="0.35">
      <c r="A128" s="61"/>
    </row>
    <row r="129" spans="1:2" x14ac:dyDescent="0.35">
      <c r="A129" s="1" t="s">
        <v>528</v>
      </c>
    </row>
    <row r="130" spans="1:2" x14ac:dyDescent="0.35">
      <c r="A130" s="1" t="s">
        <v>511</v>
      </c>
    </row>
    <row r="131" spans="1:2" x14ac:dyDescent="0.35">
      <c r="A131" s="1" t="s">
        <v>529</v>
      </c>
    </row>
    <row r="132" spans="1:2" x14ac:dyDescent="0.35">
      <c r="A132" s="1" t="s">
        <v>530</v>
      </c>
    </row>
    <row r="133" spans="1:2" x14ac:dyDescent="0.35">
      <c r="A133" s="1" t="s">
        <v>531</v>
      </c>
    </row>
    <row r="135" spans="1:2" x14ac:dyDescent="0.35">
      <c r="A135" s="1" t="s">
        <v>532</v>
      </c>
    </row>
    <row r="136" spans="1:2" x14ac:dyDescent="0.35">
      <c r="A136" s="2" t="s">
        <v>533</v>
      </c>
      <c r="B136" s="2">
        <f>100*0.9</f>
        <v>90</v>
      </c>
    </row>
    <row r="137" spans="1:2" x14ac:dyDescent="0.35">
      <c r="A137" s="1" t="s">
        <v>534</v>
      </c>
    </row>
    <row r="138" spans="1:2" x14ac:dyDescent="0.35">
      <c r="A138" s="1" t="s">
        <v>535</v>
      </c>
    </row>
    <row r="139" spans="1:2" x14ac:dyDescent="0.35">
      <c r="A139" s="1" t="s">
        <v>536</v>
      </c>
    </row>
    <row r="141" spans="1:2" x14ac:dyDescent="0.35">
      <c r="A141" s="1" t="s">
        <v>537</v>
      </c>
    </row>
    <row r="142" spans="1:2" x14ac:dyDescent="0.35">
      <c r="A142" s="2" t="s">
        <v>533</v>
      </c>
      <c r="B142" s="2">
        <f>500*0.9</f>
        <v>450</v>
      </c>
    </row>
    <row r="143" spans="1:2" x14ac:dyDescent="0.35">
      <c r="A143" s="1" t="s">
        <v>538</v>
      </c>
    </row>
    <row r="144" spans="1:2" x14ac:dyDescent="0.35">
      <c r="A144" s="1" t="s">
        <v>539</v>
      </c>
    </row>
    <row r="145" spans="1:11" x14ac:dyDescent="0.35">
      <c r="A145" s="1" t="s">
        <v>540</v>
      </c>
    </row>
    <row r="148" spans="1:11" x14ac:dyDescent="0.35">
      <c r="A148" s="1" t="s">
        <v>541</v>
      </c>
    </row>
    <row r="149" spans="1:11" x14ac:dyDescent="0.35">
      <c r="A149" s="1" t="s">
        <v>542</v>
      </c>
    </row>
    <row r="150" spans="1:11" x14ac:dyDescent="0.35">
      <c r="A150" s="1" t="s">
        <v>543</v>
      </c>
    </row>
    <row r="151" spans="1:11" x14ac:dyDescent="0.35">
      <c r="A151" s="2" t="s">
        <v>544</v>
      </c>
      <c r="B151" s="2">
        <v>1500</v>
      </c>
      <c r="C151" s="2">
        <v>1700</v>
      </c>
      <c r="D151" s="2">
        <v>2000</v>
      </c>
      <c r="E151" s="2">
        <v>1600</v>
      </c>
      <c r="F151" s="2">
        <v>3000</v>
      </c>
      <c r="G151" s="2">
        <v>3100</v>
      </c>
      <c r="H151" s="2">
        <v>2500</v>
      </c>
      <c r="I151" s="2">
        <v>4500</v>
      </c>
      <c r="J151" s="2">
        <v>1000</v>
      </c>
      <c r="K151" s="2">
        <v>6200</v>
      </c>
    </row>
    <row r="152" spans="1:11" x14ac:dyDescent="0.35">
      <c r="A152" s="2" t="s">
        <v>545</v>
      </c>
      <c r="B152" s="2">
        <v>300</v>
      </c>
      <c r="C152" s="2">
        <v>400</v>
      </c>
      <c r="D152" s="2">
        <v>400</v>
      </c>
      <c r="E152" s="2">
        <v>500</v>
      </c>
      <c r="F152" s="2">
        <v>1000</v>
      </c>
      <c r="G152" s="2">
        <v>650</v>
      </c>
      <c r="H152" s="2">
        <v>750</v>
      </c>
      <c r="I152" s="2">
        <v>200</v>
      </c>
      <c r="J152" s="2">
        <v>550</v>
      </c>
      <c r="K152" s="2">
        <v>900</v>
      </c>
    </row>
    <row r="154" spans="1:11" x14ac:dyDescent="0.35">
      <c r="A154" s="1" t="s">
        <v>511</v>
      </c>
    </row>
    <row r="155" spans="1:11" x14ac:dyDescent="0.35">
      <c r="A155" s="1" t="s">
        <v>546</v>
      </c>
    </row>
    <row r="156" spans="1:11" x14ac:dyDescent="0.35">
      <c r="A156" s="1" t="s">
        <v>547</v>
      </c>
    </row>
    <row r="158" spans="1:11" x14ac:dyDescent="0.35">
      <c r="A158" s="2" t="s">
        <v>401</v>
      </c>
      <c r="B158" s="2">
        <v>0.05</v>
      </c>
    </row>
    <row r="159" spans="1:11" x14ac:dyDescent="0.35">
      <c r="A159" s="2" t="s">
        <v>548</v>
      </c>
      <c r="B159" s="2">
        <f>AVERAGE(B151:K151)</f>
        <v>2710</v>
      </c>
    </row>
    <row r="160" spans="1:11" x14ac:dyDescent="0.35">
      <c r="A160" s="2" t="s">
        <v>549</v>
      </c>
      <c r="B160" s="2">
        <f>AVERAGE(B152:K152)</f>
        <v>565</v>
      </c>
    </row>
    <row r="163" spans="1:5" x14ac:dyDescent="0.35">
      <c r="C163" s="1" t="s">
        <v>550</v>
      </c>
    </row>
    <row r="164" spans="1:5" x14ac:dyDescent="0.35">
      <c r="C164" s="1" t="s">
        <v>551</v>
      </c>
    </row>
    <row r="168" spans="1:5" x14ac:dyDescent="0.35">
      <c r="D168" s="2" t="s">
        <v>9</v>
      </c>
      <c r="E168" s="19">
        <v>1.64</v>
      </c>
    </row>
    <row r="169" spans="1:5" x14ac:dyDescent="0.35">
      <c r="D169" s="2" t="s">
        <v>552</v>
      </c>
      <c r="E169" s="19">
        <f>STDEV(B152:K152)</f>
        <v>259.32604959779877</v>
      </c>
    </row>
    <row r="172" spans="1:5" x14ac:dyDescent="0.35">
      <c r="A172" s="2" t="s">
        <v>553</v>
      </c>
      <c r="B172" s="19">
        <f>100*B160/B159*B158</f>
        <v>1.0424354243542435</v>
      </c>
      <c r="D172" s="2" t="s">
        <v>554</v>
      </c>
      <c r="E172" s="19">
        <f>B172*E168*SQRT((1/(10*B158))*(1-B158+(E169/B160)^2))</f>
        <v>2.604724074756624</v>
      </c>
    </row>
    <row r="175" spans="1:5" x14ac:dyDescent="0.35">
      <c r="A175" s="2" t="s">
        <v>555</v>
      </c>
      <c r="B175" s="3">
        <f>B172+E172</f>
        <v>3.6471594991108676</v>
      </c>
    </row>
    <row r="176" spans="1:5" x14ac:dyDescent="0.35">
      <c r="A176" s="1" t="s">
        <v>556</v>
      </c>
    </row>
    <row r="179" spans="1:2" x14ac:dyDescent="0.35">
      <c r="B179" s="62" t="s">
        <v>557</v>
      </c>
    </row>
    <row r="180" spans="1:2" x14ac:dyDescent="0.35">
      <c r="B180" s="1" t="s">
        <v>558</v>
      </c>
    </row>
    <row r="182" spans="1:2" x14ac:dyDescent="0.35">
      <c r="A182" s="2" t="s">
        <v>559</v>
      </c>
      <c r="B182" s="3">
        <f>B175/(1-0.2)</f>
        <v>4.5589493738885842</v>
      </c>
    </row>
    <row r="183" spans="1:2" x14ac:dyDescent="0.35">
      <c r="A183" s="1" t="s">
        <v>560</v>
      </c>
    </row>
    <row r="184" spans="1:2" x14ac:dyDescent="0.35">
      <c r="A184" s="1" t="s">
        <v>561</v>
      </c>
    </row>
    <row r="187" spans="1:2" x14ac:dyDescent="0.35">
      <c r="A187" s="1" t="s">
        <v>562</v>
      </c>
    </row>
    <row r="194" spans="1:1" x14ac:dyDescent="0.35">
      <c r="A194" s="1" t="s">
        <v>563</v>
      </c>
    </row>
    <row r="195" spans="1:1" x14ac:dyDescent="0.35">
      <c r="A195" s="1" t="s">
        <v>564</v>
      </c>
    </row>
    <row r="196" spans="1:1" x14ac:dyDescent="0.35">
      <c r="A196" s="1" t="s">
        <v>565</v>
      </c>
    </row>
    <row r="197" spans="1:1" x14ac:dyDescent="0.35">
      <c r="A197" s="1" t="s">
        <v>566</v>
      </c>
    </row>
    <row r="220" spans="1:3" x14ac:dyDescent="0.35">
      <c r="A220" s="1" t="s">
        <v>567</v>
      </c>
    </row>
    <row r="223" spans="1:3" x14ac:dyDescent="0.35">
      <c r="B223" s="2" t="s">
        <v>568</v>
      </c>
      <c r="C223" s="2">
        <v>8</v>
      </c>
    </row>
    <row r="225" spans="1:3" x14ac:dyDescent="0.35">
      <c r="B225" s="2" t="s">
        <v>569</v>
      </c>
      <c r="C225" s="2">
        <v>72.33</v>
      </c>
    </row>
    <row r="226" spans="1:3" x14ac:dyDescent="0.35">
      <c r="B226" s="2" t="s">
        <v>570</v>
      </c>
      <c r="C226" s="2">
        <f>C223^2</f>
        <v>64</v>
      </c>
    </row>
    <row r="227" spans="1:3" x14ac:dyDescent="0.35">
      <c r="B227" s="2" t="s">
        <v>571</v>
      </c>
      <c r="C227" s="2">
        <f>C225-C226</f>
        <v>8.3299999999999983</v>
      </c>
    </row>
    <row r="229" spans="1:3" x14ac:dyDescent="0.35">
      <c r="A229" s="1" t="s">
        <v>537</v>
      </c>
      <c r="B229" s="2" t="s">
        <v>572</v>
      </c>
      <c r="C229" s="60">
        <f>SQRT(C227)</f>
        <v>2.8861739379323619</v>
      </c>
    </row>
    <row r="232" spans="1:3" x14ac:dyDescent="0.35">
      <c r="A232" s="1" t="s">
        <v>573</v>
      </c>
    </row>
    <row r="233" spans="1:3" x14ac:dyDescent="0.35">
      <c r="B233" s="2" t="s">
        <v>574</v>
      </c>
      <c r="C233" s="3">
        <f>C223-C229</f>
        <v>5.1138260620676377</v>
      </c>
    </row>
    <row r="234" spans="1:3" x14ac:dyDescent="0.35">
      <c r="B234" s="2" t="s">
        <v>575</v>
      </c>
      <c r="C234" s="3">
        <f>C223+C229</f>
        <v>10.886173937932362</v>
      </c>
    </row>
    <row r="237" spans="1:3" x14ac:dyDescent="0.35">
      <c r="B237" s="1" t="s">
        <v>576</v>
      </c>
    </row>
    <row r="238" spans="1:3" x14ac:dyDescent="0.35">
      <c r="B238" s="1" t="s">
        <v>577</v>
      </c>
    </row>
  </sheetData>
  <mergeCells count="1">
    <mergeCell ref="A5:B5"/>
  </mergeCells>
  <pageMargins left="0.7" right="0.7" top="0.75" bottom="0.75" header="0.3" footer="0.3"/>
  <pageSetup paperSize="9" orientation="portrait" horizontalDpi="180" verticalDpi="180" r:id="rId1"/>
  <drawing r:id="rId2"/>
  <legacyDrawing r:id="rId3"/>
  <oleObjects>
    <mc:AlternateContent xmlns:mc="http://schemas.openxmlformats.org/markup-compatibility/2006">
      <mc:Choice Requires="x14">
        <oleObject shapeId="9217" r:id="rId4">
          <objectPr defaultSize="0" autoPict="0" r:id="rId5">
            <anchor moveWithCells="1" sizeWithCells="1">
              <from>
                <xdr:col>0</xdr:col>
                <xdr:colOff>666750</xdr:colOff>
                <xdr:row>18</xdr:row>
                <xdr:rowOff>38100</xdr:rowOff>
              </from>
              <to>
                <xdr:col>1</xdr:col>
                <xdr:colOff>539750</xdr:colOff>
                <xdr:row>20</xdr:row>
                <xdr:rowOff>44450</xdr:rowOff>
              </to>
            </anchor>
          </objectPr>
        </oleObject>
      </mc:Choice>
      <mc:Fallback>
        <oleObject shapeId="9217" r:id="rId4"/>
      </mc:Fallback>
    </mc:AlternateContent>
    <mc:AlternateContent xmlns:mc="http://schemas.openxmlformats.org/markup-compatibility/2006">
      <mc:Choice Requires="x14">
        <oleObject shapeId="9218" r:id="rId6">
          <objectPr defaultSize="0" autoPict="0" r:id="rId7">
            <anchor moveWithCells="1" sizeWithCells="1">
              <from>
                <xdr:col>0</xdr:col>
                <xdr:colOff>793750</xdr:colOff>
                <xdr:row>20</xdr:row>
                <xdr:rowOff>0</xdr:rowOff>
              </from>
              <to>
                <xdr:col>2</xdr:col>
                <xdr:colOff>247650</xdr:colOff>
                <xdr:row>24</xdr:row>
                <xdr:rowOff>0</xdr:rowOff>
              </to>
            </anchor>
          </objectPr>
        </oleObject>
      </mc:Choice>
      <mc:Fallback>
        <oleObject shapeId="9218" r:id="rId6"/>
      </mc:Fallback>
    </mc:AlternateContent>
    <mc:AlternateContent xmlns:mc="http://schemas.openxmlformats.org/markup-compatibility/2006">
      <mc:Choice Requires="x14">
        <oleObject shapeId="9219" r:id="rId8">
          <objectPr defaultSize="0" autoPict="0" r:id="rId9">
            <anchor moveWithCells="1" sizeWithCells="1">
              <from>
                <xdr:col>0</xdr:col>
                <xdr:colOff>412750</xdr:colOff>
                <xdr:row>23</xdr:row>
                <xdr:rowOff>76200</xdr:rowOff>
              </from>
              <to>
                <xdr:col>2</xdr:col>
                <xdr:colOff>635000</xdr:colOff>
                <xdr:row>25</xdr:row>
                <xdr:rowOff>63500</xdr:rowOff>
              </to>
            </anchor>
          </objectPr>
        </oleObject>
      </mc:Choice>
      <mc:Fallback>
        <oleObject shapeId="9219" r:id="rId8"/>
      </mc:Fallback>
    </mc:AlternateContent>
    <mc:AlternateContent xmlns:mc="http://schemas.openxmlformats.org/markup-compatibility/2006">
      <mc:Choice Requires="x14">
        <oleObject shapeId="9220" r:id="rId10">
          <objectPr defaultSize="0" autoPict="0" r:id="rId11">
            <anchor moveWithCells="1" sizeWithCells="1">
              <from>
                <xdr:col>0</xdr:col>
                <xdr:colOff>463550</xdr:colOff>
                <xdr:row>25</xdr:row>
                <xdr:rowOff>114300</xdr:rowOff>
              </from>
              <to>
                <xdr:col>2</xdr:col>
                <xdr:colOff>482600</xdr:colOff>
                <xdr:row>29</xdr:row>
                <xdr:rowOff>19050</xdr:rowOff>
              </to>
            </anchor>
          </objectPr>
        </oleObject>
      </mc:Choice>
      <mc:Fallback>
        <oleObject shapeId="9220" r:id="rId10"/>
      </mc:Fallback>
    </mc:AlternateContent>
    <mc:AlternateContent xmlns:mc="http://schemas.openxmlformats.org/markup-compatibility/2006">
      <mc:Choice Requires="x14">
        <oleObject shapeId="9221" r:id="rId12">
          <objectPr defaultSize="0" autoPict="0" r:id="rId13">
            <anchor moveWithCells="1" sizeWithCells="1">
              <from>
                <xdr:col>0</xdr:col>
                <xdr:colOff>171450</xdr:colOff>
                <xdr:row>66</xdr:row>
                <xdr:rowOff>19050</xdr:rowOff>
              </from>
              <to>
                <xdr:col>1</xdr:col>
                <xdr:colOff>590550</xdr:colOff>
                <xdr:row>68</xdr:row>
                <xdr:rowOff>88900</xdr:rowOff>
              </to>
            </anchor>
          </objectPr>
        </oleObject>
      </mc:Choice>
      <mc:Fallback>
        <oleObject shapeId="9221" r:id="rId12"/>
      </mc:Fallback>
    </mc:AlternateContent>
    <mc:AlternateContent xmlns:mc="http://schemas.openxmlformats.org/markup-compatibility/2006">
      <mc:Choice Requires="x14">
        <oleObject shapeId="9222" r:id="rId14">
          <objectPr defaultSize="0" autoPict="0" r:id="rId15">
            <anchor moveWithCells="1" sizeWithCells="1">
              <from>
                <xdr:col>1</xdr:col>
                <xdr:colOff>876300</xdr:colOff>
                <xdr:row>65</xdr:row>
                <xdr:rowOff>69850</xdr:rowOff>
              </from>
              <to>
                <xdr:col>2</xdr:col>
                <xdr:colOff>400050</xdr:colOff>
                <xdr:row>68</xdr:row>
                <xdr:rowOff>107950</xdr:rowOff>
              </to>
            </anchor>
          </objectPr>
        </oleObject>
      </mc:Choice>
      <mc:Fallback>
        <oleObject shapeId="9222" r:id="rId14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270F3-46CD-4CAC-9C62-A91D5D475ADA}">
  <dimension ref="A3:L131"/>
  <sheetViews>
    <sheetView workbookViewId="0">
      <selection activeCell="T24" sqref="T24"/>
    </sheetView>
  </sheetViews>
  <sheetFormatPr defaultRowHeight="14.5" x14ac:dyDescent="0.35"/>
  <cols>
    <col min="1" max="3" width="8.7265625" style="1"/>
    <col min="4" max="4" width="15" style="1" customWidth="1"/>
    <col min="5" max="5" width="9.54296875" style="1" bestFit="1" customWidth="1"/>
    <col min="6" max="6" width="8.7265625" style="1"/>
    <col min="7" max="7" width="12.453125" style="1" customWidth="1"/>
    <col min="8" max="8" width="10.453125" style="1" customWidth="1"/>
    <col min="9" max="9" width="8.7265625" style="1"/>
    <col min="10" max="10" width="9.54296875" style="1" bestFit="1" customWidth="1"/>
    <col min="11" max="11" width="8.7265625" style="1"/>
    <col min="12" max="12" width="23.54296875" style="1" customWidth="1"/>
    <col min="13" max="16384" width="8.7265625" style="1"/>
  </cols>
  <sheetData>
    <row r="3" spans="1:7" x14ac:dyDescent="0.35">
      <c r="A3" s="1" t="s">
        <v>345</v>
      </c>
    </row>
    <row r="4" spans="1:7" x14ac:dyDescent="0.35">
      <c r="A4" s="1" t="s">
        <v>346</v>
      </c>
    </row>
    <row r="6" spans="1:7" x14ac:dyDescent="0.35">
      <c r="A6" s="2" t="s">
        <v>347</v>
      </c>
      <c r="B6" s="2">
        <v>100</v>
      </c>
      <c r="G6" s="1" t="s">
        <v>348</v>
      </c>
    </row>
    <row r="7" spans="1:7" x14ac:dyDescent="0.35">
      <c r="A7" s="2" t="s">
        <v>78</v>
      </c>
      <c r="B7" s="2">
        <v>3</v>
      </c>
      <c r="G7" s="1" t="s">
        <v>349</v>
      </c>
    </row>
    <row r="8" spans="1:7" x14ac:dyDescent="0.35">
      <c r="A8" s="2" t="s">
        <v>318</v>
      </c>
      <c r="B8" s="2">
        <v>0.1</v>
      </c>
      <c r="G8" s="1" t="s">
        <v>350</v>
      </c>
    </row>
    <row r="9" spans="1:7" x14ac:dyDescent="0.35">
      <c r="A9" s="2" t="s">
        <v>351</v>
      </c>
      <c r="B9" s="2">
        <v>20</v>
      </c>
    </row>
    <row r="13" spans="1:7" x14ac:dyDescent="0.35">
      <c r="B13" s="2" t="s">
        <v>352</v>
      </c>
      <c r="C13" s="3">
        <f>B6*(1+B8)^B7</f>
        <v>133.10000000000005</v>
      </c>
    </row>
    <row r="14" spans="1:7" x14ac:dyDescent="0.35">
      <c r="B14" s="2" t="s">
        <v>353</v>
      </c>
      <c r="C14" s="3">
        <f>B6+B9</f>
        <v>120</v>
      </c>
    </row>
    <row r="15" spans="1:7" x14ac:dyDescent="0.35">
      <c r="B15" s="2" t="s">
        <v>354</v>
      </c>
      <c r="C15" s="3">
        <f>C13-(B6+B9)</f>
        <v>13.100000000000051</v>
      </c>
      <c r="E15" s="1" t="s">
        <v>355</v>
      </c>
    </row>
    <row r="16" spans="1:7" x14ac:dyDescent="0.35">
      <c r="B16" s="2" t="s">
        <v>356</v>
      </c>
      <c r="C16" s="28">
        <f>C13/(B6+B9)</f>
        <v>1.1091666666666671</v>
      </c>
      <c r="E16" s="1" t="s">
        <v>357</v>
      </c>
    </row>
    <row r="19" spans="1:7" x14ac:dyDescent="0.35">
      <c r="A19" s="1" t="s">
        <v>358</v>
      </c>
    </row>
    <row r="20" spans="1:7" x14ac:dyDescent="0.35">
      <c r="A20" s="1" t="s">
        <v>346</v>
      </c>
    </row>
    <row r="22" spans="1:7" x14ac:dyDescent="0.35">
      <c r="A22" s="2" t="s">
        <v>347</v>
      </c>
      <c r="B22" s="2">
        <v>150</v>
      </c>
      <c r="G22" s="1" t="s">
        <v>348</v>
      </c>
    </row>
    <row r="23" spans="1:7" x14ac:dyDescent="0.35">
      <c r="A23" s="2" t="s">
        <v>78</v>
      </c>
      <c r="B23" s="2">
        <v>2</v>
      </c>
      <c r="G23" s="1" t="s">
        <v>349</v>
      </c>
    </row>
    <row r="24" spans="1:7" x14ac:dyDescent="0.35">
      <c r="A24" s="2" t="s">
        <v>318</v>
      </c>
      <c r="B24" s="2">
        <v>0.13</v>
      </c>
      <c r="G24" s="1" t="s">
        <v>350</v>
      </c>
    </row>
    <row r="25" spans="1:7" x14ac:dyDescent="0.35">
      <c r="A25" s="2" t="s">
        <v>351</v>
      </c>
      <c r="B25" s="2">
        <v>25</v>
      </c>
    </row>
    <row r="29" spans="1:7" x14ac:dyDescent="0.35">
      <c r="B29" s="2" t="s">
        <v>352</v>
      </c>
      <c r="C29" s="3">
        <f>B22/(1+B24)^B23</f>
        <v>117.47200250606942</v>
      </c>
    </row>
    <row r="30" spans="1:7" x14ac:dyDescent="0.35">
      <c r="B30" s="2" t="s">
        <v>353</v>
      </c>
      <c r="C30" s="2">
        <f>B22-B25</f>
        <v>125</v>
      </c>
    </row>
    <row r="31" spans="1:7" x14ac:dyDescent="0.35">
      <c r="B31" s="2" t="s">
        <v>354</v>
      </c>
      <c r="C31" s="3">
        <f>B22-B25-C29</f>
        <v>7.5279974939305845</v>
      </c>
      <c r="E31" s="1" t="s">
        <v>359</v>
      </c>
    </row>
    <row r="32" spans="1:7" x14ac:dyDescent="0.35">
      <c r="B32" s="2" t="s">
        <v>356</v>
      </c>
      <c r="C32" s="28">
        <f>(B22-B25)/C29</f>
        <v>1.064083333333333</v>
      </c>
      <c r="E32" s="1" t="s">
        <v>360</v>
      </c>
    </row>
    <row r="35" spans="1:9" x14ac:dyDescent="0.35">
      <c r="A35" s="1" t="s">
        <v>361</v>
      </c>
    </row>
    <row r="36" spans="1:9" x14ac:dyDescent="0.35">
      <c r="A36" s="1" t="s">
        <v>362</v>
      </c>
    </row>
    <row r="38" spans="1:9" x14ac:dyDescent="0.35">
      <c r="B38" s="2" t="s">
        <v>363</v>
      </c>
      <c r="D38" s="1" t="s">
        <v>364</v>
      </c>
    </row>
    <row r="39" spans="1:9" x14ac:dyDescent="0.35">
      <c r="B39" s="40">
        <v>83.21</v>
      </c>
    </row>
    <row r="40" spans="1:9" x14ac:dyDescent="0.35">
      <c r="B40" s="40">
        <v>57.15</v>
      </c>
      <c r="D40" s="7" t="s">
        <v>78</v>
      </c>
      <c r="E40" s="7">
        <v>15</v>
      </c>
    </row>
    <row r="41" spans="1:9" x14ac:dyDescent="0.35">
      <c r="B41" s="40">
        <v>58.27</v>
      </c>
      <c r="D41" s="7" t="s">
        <v>365</v>
      </c>
      <c r="E41" s="7">
        <f>MAX(B39:B53)</f>
        <v>83.21</v>
      </c>
      <c r="H41" s="7" t="s">
        <v>75</v>
      </c>
      <c r="I41" s="7">
        <v>0.95</v>
      </c>
    </row>
    <row r="42" spans="1:9" x14ac:dyDescent="0.35">
      <c r="B42" s="40">
        <v>59.66</v>
      </c>
      <c r="D42" s="7" t="s">
        <v>366</v>
      </c>
      <c r="E42" s="7">
        <f>MIN(B39:B53)</f>
        <v>4.16</v>
      </c>
    </row>
    <row r="43" spans="1:9" x14ac:dyDescent="0.35">
      <c r="B43" s="40">
        <v>4.16</v>
      </c>
      <c r="D43" s="7" t="s">
        <v>367</v>
      </c>
      <c r="E43" s="7">
        <f>LOG10(E40)</f>
        <v>1.1760912590556813</v>
      </c>
    </row>
    <row r="44" spans="1:9" x14ac:dyDescent="0.35">
      <c r="B44" s="40">
        <v>48.25</v>
      </c>
      <c r="D44" s="7" t="s">
        <v>150</v>
      </c>
      <c r="E44" s="6">
        <f>STDEV(B39:B53)</f>
        <v>18.704968476698543</v>
      </c>
    </row>
    <row r="45" spans="1:9" x14ac:dyDescent="0.35">
      <c r="B45" s="40">
        <v>55.77</v>
      </c>
      <c r="D45" s="7" t="s">
        <v>329</v>
      </c>
      <c r="E45" s="6">
        <f>AVERAGE(B39:B53)</f>
        <v>47.787999999999997</v>
      </c>
    </row>
    <row r="46" spans="1:9" x14ac:dyDescent="0.35">
      <c r="B46" s="40">
        <v>40.770000000000003</v>
      </c>
    </row>
    <row r="47" spans="1:9" x14ac:dyDescent="0.35">
      <c r="B47" s="40">
        <v>36.54</v>
      </c>
      <c r="D47" s="1" t="s">
        <v>368</v>
      </c>
    </row>
    <row r="48" spans="1:9" x14ac:dyDescent="0.35">
      <c r="B48" s="40">
        <v>64.75</v>
      </c>
    </row>
    <row r="49" spans="2:12" x14ac:dyDescent="0.35">
      <c r="B49" s="40">
        <v>50.02</v>
      </c>
      <c r="D49" s="7" t="s">
        <v>369</v>
      </c>
      <c r="E49" s="6">
        <f>(E41-E42)/(1+3.3*E43)</f>
        <v>16.195116120653868</v>
      </c>
    </row>
    <row r="50" spans="2:12" x14ac:dyDescent="0.35">
      <c r="B50" s="40">
        <v>38.340000000000003</v>
      </c>
    </row>
    <row r="51" spans="2:12" x14ac:dyDescent="0.35">
      <c r="B51" s="40">
        <v>30.9</v>
      </c>
      <c r="G51" s="7" t="s">
        <v>370</v>
      </c>
      <c r="H51" s="7" t="s">
        <v>371</v>
      </c>
      <c r="I51" s="7" t="s">
        <v>372</v>
      </c>
      <c r="J51" s="7" t="s">
        <v>373</v>
      </c>
      <c r="K51" s="7" t="s">
        <v>374</v>
      </c>
      <c r="L51" s="7" t="s">
        <v>375</v>
      </c>
    </row>
    <row r="52" spans="2:12" x14ac:dyDescent="0.35">
      <c r="B52" s="40">
        <v>29.13</v>
      </c>
      <c r="G52" s="2">
        <f>E42</f>
        <v>4.16</v>
      </c>
      <c r="H52" s="3">
        <f>G52+$E$49</f>
        <v>20.355116120653868</v>
      </c>
      <c r="I52" s="2">
        <f>COUNTIFS($B$39:$B$53,"&gt;=" &amp; G52,$B$39:$B$53,"&lt;" &amp; H52)</f>
        <v>1</v>
      </c>
      <c r="J52" s="19">
        <f>(NORMSDIST((H52-$E$45)/$E$44)-0.5)+0.5</f>
        <v>7.124116138406178E-2</v>
      </c>
      <c r="K52" s="2">
        <f>ROUND(J52*$E$40,0)</f>
        <v>1</v>
      </c>
      <c r="L52" s="28">
        <f>((I52-K52)^2)/I52</f>
        <v>0</v>
      </c>
    </row>
    <row r="53" spans="2:12" x14ac:dyDescent="0.35">
      <c r="B53" s="40">
        <v>59.9</v>
      </c>
      <c r="G53" s="3">
        <f>H52</f>
        <v>20.355116120653868</v>
      </c>
      <c r="H53" s="3">
        <f>G53+$E$49</f>
        <v>36.550232241307739</v>
      </c>
      <c r="I53" s="2">
        <f t="shared" ref="I53:I55" si="0">COUNTIFS($B$39:$B$53,"&gt;=" &amp; G53,$B$39:$B$53,"&lt;" &amp; H53)</f>
        <v>3</v>
      </c>
      <c r="J53" s="19">
        <f t="shared" ref="J53:J55" si="1">(NORMSDIST((H53-$E$45)/$E$44)-0.5)-(NORMSDIST((G53-$E$45)/$E$44)-0.5)</f>
        <v>0.20274859776848031</v>
      </c>
      <c r="K53" s="2">
        <f t="shared" ref="K53:K56" si="2">ROUND(J53*$E$40,0)</f>
        <v>3</v>
      </c>
      <c r="L53" s="28">
        <f t="shared" ref="L53:L56" si="3">((I53-K53)^2)/I53</f>
        <v>0</v>
      </c>
    </row>
    <row r="54" spans="2:12" x14ac:dyDescent="0.35">
      <c r="G54" s="3">
        <f>H53</f>
        <v>36.550232241307739</v>
      </c>
      <c r="H54" s="3">
        <f>G54+E49</f>
        <v>52.745348361961604</v>
      </c>
      <c r="I54" s="2">
        <f t="shared" si="0"/>
        <v>4</v>
      </c>
      <c r="J54" s="19">
        <f t="shared" si="1"/>
        <v>0.33051645912306238</v>
      </c>
      <c r="K54" s="2">
        <f t="shared" si="2"/>
        <v>5</v>
      </c>
      <c r="L54" s="28">
        <f t="shared" si="3"/>
        <v>0.25</v>
      </c>
    </row>
    <row r="55" spans="2:12" x14ac:dyDescent="0.35">
      <c r="G55" s="3">
        <f>H54</f>
        <v>52.745348361961604</v>
      </c>
      <c r="H55" s="3">
        <f>G55+E49</f>
        <v>68.940464482615468</v>
      </c>
      <c r="I55" s="2">
        <f t="shared" si="0"/>
        <v>6</v>
      </c>
      <c r="J55" s="19">
        <f t="shared" si="1"/>
        <v>0.26643411347499579</v>
      </c>
      <c r="K55" s="2">
        <f t="shared" si="2"/>
        <v>4</v>
      </c>
      <c r="L55" s="28">
        <f t="shared" si="3"/>
        <v>0.66666666666666663</v>
      </c>
    </row>
    <row r="56" spans="2:12" x14ac:dyDescent="0.35">
      <c r="G56" s="3">
        <f>H55</f>
        <v>68.940464482615468</v>
      </c>
      <c r="H56" s="3">
        <f>E41</f>
        <v>83.21</v>
      </c>
      <c r="I56" s="2">
        <f>COUNTIFS($B$39:$B$53,"&gt;=" &amp; G56,$B$39:$B$53,"&lt;=" &amp; H56)</f>
        <v>1</v>
      </c>
      <c r="J56" s="19">
        <f>0.5-(NORMSDIST((G56-$E$45)/$E$44)-0.5)</f>
        <v>0.12905966824939974</v>
      </c>
      <c r="K56" s="2">
        <f t="shared" si="2"/>
        <v>2</v>
      </c>
      <c r="L56" s="28">
        <f t="shared" si="3"/>
        <v>1</v>
      </c>
    </row>
    <row r="58" spans="2:12" x14ac:dyDescent="0.35">
      <c r="J58" s="25"/>
    </row>
    <row r="59" spans="2:12" x14ac:dyDescent="0.35">
      <c r="D59" s="7" t="s">
        <v>376</v>
      </c>
      <c r="E59" s="7">
        <v>5</v>
      </c>
      <c r="G59" s="7" t="s">
        <v>377</v>
      </c>
      <c r="H59" s="22">
        <f>SUM(L52:L56)</f>
        <v>1.9166666666666665</v>
      </c>
      <c r="J59" s="1" t="s">
        <v>378</v>
      </c>
    </row>
    <row r="60" spans="2:12" x14ac:dyDescent="0.35">
      <c r="D60" s="7" t="s">
        <v>379</v>
      </c>
      <c r="E60" s="7">
        <v>2</v>
      </c>
      <c r="G60" s="7" t="s">
        <v>380</v>
      </c>
      <c r="H60" s="22">
        <f>CHIINV(0.05,E59-E60-1)</f>
        <v>5.9914645471079817</v>
      </c>
      <c r="J60" s="1" t="s">
        <v>381</v>
      </c>
    </row>
    <row r="72" spans="4:6" x14ac:dyDescent="0.35">
      <c r="F72" s="1" t="s">
        <v>382</v>
      </c>
    </row>
    <row r="76" spans="4:6" x14ac:dyDescent="0.35">
      <c r="D76" s="1" t="s">
        <v>383</v>
      </c>
    </row>
    <row r="78" spans="4:6" x14ac:dyDescent="0.35">
      <c r="D78" s="1" t="s">
        <v>384</v>
      </c>
    </row>
    <row r="80" spans="4:6" x14ac:dyDescent="0.35">
      <c r="D80" s="1" t="s">
        <v>385</v>
      </c>
    </row>
    <row r="81" spans="1:9" x14ac:dyDescent="0.35">
      <c r="D81" s="7" t="s">
        <v>386</v>
      </c>
      <c r="E81" s="3">
        <f>1.96*E44+E45</f>
        <v>84.44973821432913</v>
      </c>
    </row>
    <row r="82" spans="1:9" x14ac:dyDescent="0.35">
      <c r="D82" s="1" t="s">
        <v>387</v>
      </c>
    </row>
    <row r="85" spans="1:9" x14ac:dyDescent="0.35">
      <c r="A85" s="1" t="s">
        <v>388</v>
      </c>
    </row>
    <row r="86" spans="1:9" x14ac:dyDescent="0.35">
      <c r="A86" s="1" t="s">
        <v>389</v>
      </c>
    </row>
    <row r="88" spans="1:9" x14ac:dyDescent="0.35">
      <c r="B88" s="2" t="s">
        <v>363</v>
      </c>
      <c r="D88" s="1" t="s">
        <v>364</v>
      </c>
    </row>
    <row r="89" spans="1:9" x14ac:dyDescent="0.35">
      <c r="B89" s="3">
        <v>71.92</v>
      </c>
    </row>
    <row r="90" spans="1:9" x14ac:dyDescent="0.35">
      <c r="B90" s="3">
        <v>80.61</v>
      </c>
      <c r="D90" s="7" t="s">
        <v>78</v>
      </c>
      <c r="E90" s="7">
        <v>15</v>
      </c>
    </row>
    <row r="91" spans="1:9" x14ac:dyDescent="0.35">
      <c r="B91" s="3">
        <v>50.8</v>
      </c>
      <c r="D91" s="7" t="s">
        <v>365</v>
      </c>
      <c r="E91" s="6">
        <f>MAX(B89:B103)</f>
        <v>95.37</v>
      </c>
      <c r="H91" s="7" t="s">
        <v>75</v>
      </c>
      <c r="I91" s="7">
        <v>0.95</v>
      </c>
    </row>
    <row r="92" spans="1:9" x14ac:dyDescent="0.35">
      <c r="B92" s="3">
        <v>52.22</v>
      </c>
      <c r="D92" s="7" t="s">
        <v>366</v>
      </c>
      <c r="E92" s="6">
        <f>MIN(B89:B103)</f>
        <v>47.75</v>
      </c>
    </row>
    <row r="93" spans="1:9" x14ac:dyDescent="0.35">
      <c r="B93" s="3">
        <v>77.08</v>
      </c>
      <c r="D93" s="7" t="s">
        <v>367</v>
      </c>
      <c r="E93" s="7">
        <f>LOG10(E90)</f>
        <v>1.1760912590556813</v>
      </c>
    </row>
    <row r="94" spans="1:9" x14ac:dyDescent="0.35">
      <c r="B94" s="3">
        <v>60.18</v>
      </c>
      <c r="D94" s="7" t="s">
        <v>150</v>
      </c>
      <c r="E94" s="6">
        <f>STDEV(B89:B103)</f>
        <v>13.660662502236143</v>
      </c>
    </row>
    <row r="95" spans="1:9" x14ac:dyDescent="0.35">
      <c r="B95" s="3">
        <v>75.489999999999995</v>
      </c>
      <c r="D95" s="7" t="s">
        <v>329</v>
      </c>
      <c r="E95" s="6">
        <f>AVERAGE(B89:B103)</f>
        <v>69.400000000000006</v>
      </c>
    </row>
    <row r="96" spans="1:9" x14ac:dyDescent="0.35">
      <c r="B96" s="3">
        <v>67.22</v>
      </c>
    </row>
    <row r="97" spans="2:12" x14ac:dyDescent="0.35">
      <c r="B97" s="3">
        <v>95.37</v>
      </c>
      <c r="D97" s="1" t="s">
        <v>368</v>
      </c>
    </row>
    <row r="98" spans="2:12" x14ac:dyDescent="0.35">
      <c r="B98" s="3">
        <v>47.75</v>
      </c>
    </row>
    <row r="99" spans="2:12" x14ac:dyDescent="0.35">
      <c r="B99" s="3">
        <v>69.209999999999994</v>
      </c>
      <c r="D99" s="7" t="s">
        <v>369</v>
      </c>
      <c r="E99" s="6">
        <f>(E91-E92)/(1+3.3*E93)</f>
        <v>9.7559953151870626</v>
      </c>
    </row>
    <row r="100" spans="2:12" x14ac:dyDescent="0.35">
      <c r="B100" s="3">
        <v>58.1</v>
      </c>
    </row>
    <row r="101" spans="2:12" x14ac:dyDescent="0.35">
      <c r="B101" s="3">
        <v>83.48</v>
      </c>
      <c r="G101" s="7" t="s">
        <v>370</v>
      </c>
      <c r="H101" s="7" t="s">
        <v>371</v>
      </c>
      <c r="I101" s="7" t="s">
        <v>372</v>
      </c>
      <c r="J101" s="7" t="s">
        <v>373</v>
      </c>
      <c r="K101" s="7" t="s">
        <v>374</v>
      </c>
      <c r="L101" s="7" t="s">
        <v>375</v>
      </c>
    </row>
    <row r="102" spans="2:12" x14ac:dyDescent="0.35">
      <c r="B102" s="3">
        <v>82.96</v>
      </c>
      <c r="G102" s="3">
        <f>E92</f>
        <v>47.75</v>
      </c>
      <c r="H102" s="3">
        <f>G102+$E$99</f>
        <v>57.505995315187064</v>
      </c>
      <c r="I102" s="2">
        <f>COUNTIFS($B$89:$B$103,"&gt;=" &amp; G102,$B$89:$B$103,"&lt;" &amp; H102)</f>
        <v>3</v>
      </c>
      <c r="J102" s="19">
        <f>(NORMSDIST((H102-$E$95)/$E$94)-0.5)+0.5</f>
        <v>0.19196566912858293</v>
      </c>
      <c r="K102" s="2">
        <f>ROUND(J102*$E$90,0)</f>
        <v>3</v>
      </c>
      <c r="L102" s="28">
        <f>((I102-K102)^2)/I102</f>
        <v>0</v>
      </c>
    </row>
    <row r="103" spans="2:12" x14ac:dyDescent="0.35">
      <c r="B103" s="3">
        <v>68.61</v>
      </c>
      <c r="G103" s="3">
        <f>H102</f>
        <v>57.505995315187064</v>
      </c>
      <c r="H103" s="3">
        <f>G103+$E$99</f>
        <v>67.261990630374129</v>
      </c>
      <c r="I103" s="2">
        <f t="shared" ref="I103:I105" si="4">COUNTIFS($B$89:$B$103,"&gt;=" &amp; G103,$B$89:$B$103,"&lt;" &amp; H103)</f>
        <v>3</v>
      </c>
      <c r="J103" s="19">
        <f>(NORMSDIST((H103-$E$95)/$E$94)-0.5)-(NORMSDIST((G103-$E$95)/$E$94)-0.5)</f>
        <v>0.24585045309482995</v>
      </c>
      <c r="K103" s="2">
        <f>ROUND(J103*$E$90,0)</f>
        <v>4</v>
      </c>
      <c r="L103" s="28">
        <f>((I103-K103)^2)/I103</f>
        <v>0.33333333333333331</v>
      </c>
    </row>
    <row r="104" spans="2:12" x14ac:dyDescent="0.35">
      <c r="G104" s="3">
        <f>H103</f>
        <v>67.261990630374129</v>
      </c>
      <c r="H104" s="3">
        <f>G104+E99</f>
        <v>77.017985945561193</v>
      </c>
      <c r="I104" s="2">
        <f>COUNTIFS($B$89:$B$103,"&gt;=" &amp; G104,$B$89:$B$103,"&lt;" &amp; H104)</f>
        <v>4</v>
      </c>
      <c r="J104" s="19">
        <f>(NORMSDIST((H104-$E$95)/$E$94)-0.5)-(NORMSDIST((G104-$E$95)/$E$94)-0.5)</f>
        <v>0.27364511180041634</v>
      </c>
      <c r="K104" s="2">
        <f t="shared" ref="K104:K105" si="5">ROUND(J104*$E$90,0)</f>
        <v>4</v>
      </c>
      <c r="L104" s="28">
        <f>((I104-K104)^2)/I104</f>
        <v>0</v>
      </c>
    </row>
    <row r="105" spans="2:12" x14ac:dyDescent="0.35">
      <c r="G105" s="3">
        <f>H104</f>
        <v>77.017985945561193</v>
      </c>
      <c r="H105" s="3">
        <f>G105+E99</f>
        <v>86.773981260748258</v>
      </c>
      <c r="I105" s="2">
        <f t="shared" si="4"/>
        <v>4</v>
      </c>
      <c r="J105" s="19">
        <f>(NORMSDIST((H105-$E$95)/$E$94)-0.5)-(NORMSDIST((G105-$E$95)/$E$94)-0.5)</f>
        <v>0.18682123316703136</v>
      </c>
      <c r="K105" s="2">
        <f t="shared" si="5"/>
        <v>3</v>
      </c>
      <c r="L105" s="28">
        <f>((I105-K105)^2)/I105</f>
        <v>0.25</v>
      </c>
    </row>
    <row r="106" spans="2:12" x14ac:dyDescent="0.35">
      <c r="G106" s="3">
        <f>H105</f>
        <v>86.773981260748258</v>
      </c>
      <c r="H106" s="3">
        <f>E91</f>
        <v>95.37</v>
      </c>
      <c r="I106" s="2">
        <f>COUNTIFS($B$89:$B$103,"&gt;=" &amp; G106,$B$89:$B$103,"&lt;=" &amp; H106)</f>
        <v>1</v>
      </c>
      <c r="J106" s="19">
        <f>0.5-(NORMSDIST((G106-$E$95)/$E$94)-0.5)</f>
        <v>0.10171753280913942</v>
      </c>
      <c r="K106" s="2">
        <v>1</v>
      </c>
      <c r="L106" s="28">
        <f>((I106-K106)^2)/I106</f>
        <v>0</v>
      </c>
    </row>
    <row r="108" spans="2:12" x14ac:dyDescent="0.35">
      <c r="J108" s="25"/>
    </row>
    <row r="109" spans="2:12" x14ac:dyDescent="0.35">
      <c r="D109" s="7" t="s">
        <v>376</v>
      </c>
      <c r="E109" s="7">
        <v>5</v>
      </c>
      <c r="G109" s="7" t="s">
        <v>377</v>
      </c>
      <c r="H109" s="22">
        <f>SUM(L102:L106)</f>
        <v>0.58333333333333326</v>
      </c>
      <c r="J109" s="1" t="s">
        <v>378</v>
      </c>
    </row>
    <row r="110" spans="2:12" x14ac:dyDescent="0.35">
      <c r="D110" s="7" t="s">
        <v>379</v>
      </c>
      <c r="E110" s="7">
        <v>2</v>
      </c>
      <c r="G110" s="7" t="s">
        <v>380</v>
      </c>
      <c r="H110" s="22">
        <f>CHIINV(0.05,E109-E110-1)</f>
        <v>5.9914645471079817</v>
      </c>
      <c r="J110" s="1" t="s">
        <v>381</v>
      </c>
    </row>
    <row r="121" spans="4:7" x14ac:dyDescent="0.35">
      <c r="G121" s="1" t="s">
        <v>382</v>
      </c>
    </row>
    <row r="124" spans="4:7" x14ac:dyDescent="0.35">
      <c r="D124" s="1" t="s">
        <v>390</v>
      </c>
    </row>
    <row r="126" spans="4:7" x14ac:dyDescent="0.35">
      <c r="D126" s="1" t="s">
        <v>391</v>
      </c>
    </row>
    <row r="128" spans="4:7" x14ac:dyDescent="0.35">
      <c r="D128" s="1" t="s">
        <v>392</v>
      </c>
    </row>
    <row r="130" spans="4:5" x14ac:dyDescent="0.35">
      <c r="D130" s="7" t="s">
        <v>386</v>
      </c>
      <c r="E130" s="3">
        <f>(-1.64)*E94+E95</f>
        <v>46.996513496332732</v>
      </c>
    </row>
    <row r="131" spans="4:5" x14ac:dyDescent="0.35">
      <c r="D131" s="1" t="s">
        <v>393</v>
      </c>
    </row>
  </sheetData>
  <pageMargins left="0.7" right="0.7" top="0.75" bottom="0.75" header="0.3" footer="0.3"/>
  <pageSetup paperSize="9" orientation="portrait" horizontalDpi="180" verticalDpi="180" r:id="rId1"/>
  <drawing r:id="rId2"/>
  <legacyDrawing r:id="rId3"/>
  <oleObjects>
    <mc:AlternateContent xmlns:mc="http://schemas.openxmlformats.org/markup-compatibility/2006">
      <mc:Choice Requires="x14">
        <oleObject progId="Equation.3" shapeId="6145" r:id="rId4">
          <objectPr defaultSize="0" autoPict="0" r:id="rId5">
            <anchor moveWithCells="1" sizeWithCells="1">
              <from>
                <xdr:col>3</xdr:col>
                <xdr:colOff>44450</xdr:colOff>
                <xdr:row>5</xdr:row>
                <xdr:rowOff>6350</xdr:rowOff>
              </from>
              <to>
                <xdr:col>5</xdr:col>
                <xdr:colOff>82550</xdr:colOff>
                <xdr:row>10</xdr:row>
                <xdr:rowOff>44450</xdr:rowOff>
              </to>
            </anchor>
          </objectPr>
        </oleObject>
      </mc:Choice>
      <mc:Fallback>
        <oleObject progId="Equation.3" shapeId="6145" r:id="rId4"/>
      </mc:Fallback>
    </mc:AlternateContent>
    <mc:AlternateContent xmlns:mc="http://schemas.openxmlformats.org/markup-compatibility/2006">
      <mc:Choice Requires="x14">
        <oleObject progId="Equation.3" shapeId="6146" r:id="rId6">
          <objectPr defaultSize="0" autoPict="0" r:id="rId7">
            <anchor moveWithCells="1" sizeWithCells="1">
              <from>
                <xdr:col>3</xdr:col>
                <xdr:colOff>146050</xdr:colOff>
                <xdr:row>21</xdr:row>
                <xdr:rowOff>0</xdr:rowOff>
              </from>
              <to>
                <xdr:col>5</xdr:col>
                <xdr:colOff>63500</xdr:colOff>
                <xdr:row>26</xdr:row>
                <xdr:rowOff>6350</xdr:rowOff>
              </to>
            </anchor>
          </objectPr>
        </oleObject>
      </mc:Choice>
      <mc:Fallback>
        <oleObject progId="Equation.3" shapeId="6146" r:id="rId6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0ACB8-9814-488F-9B47-AB7B12E57C4C}">
  <dimension ref="A3:L50"/>
  <sheetViews>
    <sheetView topLeftCell="A13" workbookViewId="0">
      <selection activeCell="C13" sqref="C13"/>
    </sheetView>
  </sheetViews>
  <sheetFormatPr defaultRowHeight="14.5" x14ac:dyDescent="0.35"/>
  <cols>
    <col min="1" max="2" width="8.7265625" style="1"/>
    <col min="3" max="3" width="9.54296875" style="1" bestFit="1" customWidth="1"/>
    <col min="4" max="4" width="8.7265625" style="1"/>
    <col min="5" max="5" width="9.54296875" style="1" bestFit="1" customWidth="1"/>
    <col min="6" max="6" width="8.453125" style="1" customWidth="1"/>
    <col min="7" max="8" width="8.7265625" style="1"/>
    <col min="9" max="9" width="9.54296875" style="1" bestFit="1" customWidth="1"/>
    <col min="10" max="16384" width="8.7265625" style="1"/>
  </cols>
  <sheetData>
    <row r="3" spans="1:6" x14ac:dyDescent="0.35">
      <c r="A3" s="1" t="s">
        <v>314</v>
      </c>
    </row>
    <row r="4" spans="1:6" x14ac:dyDescent="0.35">
      <c r="A4" s="1" t="s">
        <v>315</v>
      </c>
    </row>
    <row r="6" spans="1:6" x14ac:dyDescent="0.35">
      <c r="E6" s="2" t="s">
        <v>316</v>
      </c>
      <c r="F6" s="2">
        <v>0.8</v>
      </c>
    </row>
    <row r="7" spans="1:6" x14ac:dyDescent="0.35">
      <c r="E7" s="2" t="s">
        <v>317</v>
      </c>
      <c r="F7" s="2">
        <v>0.65</v>
      </c>
    </row>
    <row r="8" spans="1:6" x14ac:dyDescent="0.35">
      <c r="E8" s="2" t="s">
        <v>78</v>
      </c>
      <c r="F8" s="2">
        <v>2</v>
      </c>
    </row>
    <row r="9" spans="1:6" x14ac:dyDescent="0.35">
      <c r="E9" s="2" t="s">
        <v>318</v>
      </c>
      <c r="F9" s="2">
        <v>0.04</v>
      </c>
    </row>
    <row r="12" spans="1:6" x14ac:dyDescent="0.35">
      <c r="E12" s="2" t="s">
        <v>319</v>
      </c>
      <c r="F12" s="19">
        <f>1/(1-((F6*F7)/(1+F9)^F8))</f>
        <v>1.9259259259259258</v>
      </c>
    </row>
    <row r="16" spans="1:6" x14ac:dyDescent="0.35">
      <c r="A16" s="1" t="s">
        <v>320</v>
      </c>
    </row>
    <row r="19" spans="1:11" x14ac:dyDescent="0.35">
      <c r="A19" s="1" t="s">
        <v>321</v>
      </c>
    </row>
    <row r="20" spans="1:11" x14ac:dyDescent="0.35">
      <c r="A20" s="1" t="s">
        <v>322</v>
      </c>
    </row>
    <row r="22" spans="1:11" x14ac:dyDescent="0.35">
      <c r="B22" s="1" t="s">
        <v>323</v>
      </c>
      <c r="H22" s="1" t="s">
        <v>324</v>
      </c>
    </row>
    <row r="23" spans="1:11" x14ac:dyDescent="0.35">
      <c r="B23" s="1" t="s">
        <v>325</v>
      </c>
      <c r="H23" s="1" t="s">
        <v>326</v>
      </c>
    </row>
    <row r="24" spans="1:11" x14ac:dyDescent="0.35">
      <c r="B24" s="3">
        <v>7.0000000000000007E-2</v>
      </c>
      <c r="H24" s="2">
        <v>7.0000000000000007E-2</v>
      </c>
    </row>
    <row r="25" spans="1:11" x14ac:dyDescent="0.35">
      <c r="B25" s="3">
        <v>7.4999999999999997E-2</v>
      </c>
      <c r="H25" s="2">
        <v>0.16</v>
      </c>
    </row>
    <row r="26" spans="1:11" x14ac:dyDescent="0.35">
      <c r="B26" s="3">
        <v>0.1</v>
      </c>
      <c r="D26" s="7" t="s">
        <v>327</v>
      </c>
      <c r="E26" s="7">
        <v>15</v>
      </c>
      <c r="H26" s="2">
        <v>0.33</v>
      </c>
      <c r="J26" s="7" t="s">
        <v>328</v>
      </c>
      <c r="K26" s="7">
        <v>8</v>
      </c>
    </row>
    <row r="27" spans="1:11" x14ac:dyDescent="0.35">
      <c r="B27" s="3">
        <v>0.05</v>
      </c>
      <c r="D27" s="7" t="s">
        <v>329</v>
      </c>
      <c r="E27" s="22">
        <f>AVERAGE(B24:B38)</f>
        <v>0.14033333333333337</v>
      </c>
      <c r="H27" s="2">
        <v>0.24</v>
      </c>
      <c r="J27" s="7" t="s">
        <v>330</v>
      </c>
      <c r="K27" s="22">
        <f>AVERAGE(H24:H31)</f>
        <v>0.19875000000000001</v>
      </c>
    </row>
    <row r="28" spans="1:11" x14ac:dyDescent="0.35">
      <c r="B28" s="3">
        <v>0.12</v>
      </c>
      <c r="D28" s="7" t="s">
        <v>150</v>
      </c>
      <c r="E28" s="22">
        <f>STDEV(B24:B38)</f>
        <v>7.751651129797775E-2</v>
      </c>
      <c r="H28" s="2">
        <v>0.12</v>
      </c>
      <c r="J28" s="7" t="s">
        <v>331</v>
      </c>
      <c r="K28" s="22">
        <f>STDEV(H24:H31)</f>
        <v>8.3740671122221139E-2</v>
      </c>
    </row>
    <row r="29" spans="1:11" x14ac:dyDescent="0.35">
      <c r="B29" s="3">
        <v>0.06</v>
      </c>
      <c r="D29" s="7" t="s">
        <v>332</v>
      </c>
      <c r="E29" s="22">
        <f>E28^2</f>
        <v>6.0088095238095118E-3</v>
      </c>
      <c r="H29" s="2">
        <v>0.18</v>
      </c>
      <c r="J29" s="7" t="s">
        <v>333</v>
      </c>
      <c r="K29" s="22">
        <f>K28^2</f>
        <v>7.0125000000000014E-3</v>
      </c>
    </row>
    <row r="30" spans="1:11" x14ac:dyDescent="0.35">
      <c r="B30" s="3">
        <v>0.2</v>
      </c>
      <c r="H30" s="2">
        <v>0.22</v>
      </c>
    </row>
    <row r="31" spans="1:11" x14ac:dyDescent="0.35">
      <c r="B31" s="3">
        <v>0.15</v>
      </c>
      <c r="H31" s="2">
        <v>0.27</v>
      </c>
    </row>
    <row r="32" spans="1:11" x14ac:dyDescent="0.35">
      <c r="B32" s="3">
        <v>0.09</v>
      </c>
      <c r="E32" s="10"/>
    </row>
    <row r="33" spans="2:12" x14ac:dyDescent="0.35">
      <c r="B33" s="3">
        <v>0.14000000000000001</v>
      </c>
      <c r="D33" s="1" t="s">
        <v>334</v>
      </c>
    </row>
    <row r="34" spans="2:12" x14ac:dyDescent="0.35">
      <c r="B34" s="3">
        <v>0.35</v>
      </c>
      <c r="D34" s="1" t="s">
        <v>335</v>
      </c>
    </row>
    <row r="35" spans="2:12" x14ac:dyDescent="0.35">
      <c r="B35" s="3">
        <v>0.17</v>
      </c>
      <c r="L35" s="1" t="s">
        <v>336</v>
      </c>
    </row>
    <row r="36" spans="2:12" x14ac:dyDescent="0.35">
      <c r="B36" s="3">
        <v>0.14000000000000001</v>
      </c>
    </row>
    <row r="37" spans="2:12" x14ac:dyDescent="0.35">
      <c r="B37" s="3">
        <v>0.17</v>
      </c>
      <c r="J37" s="32"/>
    </row>
    <row r="38" spans="2:12" x14ac:dyDescent="0.35">
      <c r="B38" s="3">
        <v>0.22</v>
      </c>
    </row>
    <row r="39" spans="2:12" x14ac:dyDescent="0.35">
      <c r="D39" s="7" t="s">
        <v>337</v>
      </c>
      <c r="E39" s="28">
        <f>((ABS(K27-E27))/((K26-1)*K29+(E26-1)*E29))*(SQRT((K26*E26*(K26+E26-2))/(K26+E26)))</f>
        <v>4.5902208271452549</v>
      </c>
      <c r="G39" s="1" t="s">
        <v>338</v>
      </c>
    </row>
    <row r="40" spans="2:12" x14ac:dyDescent="0.35">
      <c r="D40" s="7" t="s">
        <v>339</v>
      </c>
      <c r="E40" s="28">
        <f>TINV(0.05,E26+K26-2)</f>
        <v>2.07961384472768</v>
      </c>
    </row>
    <row r="42" spans="2:12" x14ac:dyDescent="0.35">
      <c r="D42" s="1" t="s">
        <v>340</v>
      </c>
    </row>
    <row r="43" spans="2:12" x14ac:dyDescent="0.35">
      <c r="D43" s="32" t="s">
        <v>341</v>
      </c>
      <c r="H43" s="1" t="s">
        <v>342</v>
      </c>
    </row>
    <row r="47" spans="2:12" x14ac:dyDescent="0.35">
      <c r="D47" s="7" t="s">
        <v>133</v>
      </c>
      <c r="E47" s="28">
        <f>(MAX(E29,K29))/(MIN(E29,K29))</f>
        <v>1.1670364940365363</v>
      </c>
      <c r="G47" s="1" t="s">
        <v>343</v>
      </c>
    </row>
    <row r="48" spans="2:12" x14ac:dyDescent="0.35">
      <c r="D48" s="7" t="s">
        <v>298</v>
      </c>
      <c r="E48" s="28">
        <f>FINV(0.05,K26-1,E26-1)</f>
        <v>2.7641992567781792</v>
      </c>
    </row>
    <row r="50" spans="1:1" x14ac:dyDescent="0.35">
      <c r="A50" s="1" t="s">
        <v>344</v>
      </c>
    </row>
  </sheetData>
  <pageMargins left="0.7" right="0.7" top="0.75" bottom="0.75" header="0.3" footer="0.3"/>
  <pageSetup paperSize="9" orientation="landscape" horizontalDpi="18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75EA8-D662-40D6-A000-98CB29DE2263}">
  <dimension ref="A2:K148"/>
  <sheetViews>
    <sheetView workbookViewId="0">
      <selection activeCell="P124" sqref="P124"/>
    </sheetView>
  </sheetViews>
  <sheetFormatPr defaultRowHeight="14.5" x14ac:dyDescent="0.35"/>
  <cols>
    <col min="1" max="1" width="14.7265625" style="1" customWidth="1"/>
    <col min="2" max="2" width="11.81640625" style="1" customWidth="1"/>
    <col min="3" max="3" width="13.7265625" style="1" customWidth="1"/>
    <col min="4" max="4" width="11.54296875" style="1" bestFit="1" customWidth="1"/>
    <col min="5" max="5" width="11.7265625" style="1" customWidth="1"/>
    <col min="6" max="6" width="12.81640625" style="1" customWidth="1"/>
    <col min="7" max="7" width="10" style="1" customWidth="1"/>
    <col min="8" max="16384" width="8.7265625" style="1"/>
  </cols>
  <sheetData>
    <row r="2" spans="1:9" x14ac:dyDescent="0.35">
      <c r="A2" s="1" t="s">
        <v>253</v>
      </c>
    </row>
    <row r="3" spans="1:9" x14ac:dyDescent="0.35">
      <c r="A3" s="1" t="s">
        <v>254</v>
      </c>
    </row>
    <row r="5" spans="1:9" x14ac:dyDescent="0.35">
      <c r="A5" s="2" t="s">
        <v>255</v>
      </c>
      <c r="B5" s="2" t="s">
        <v>256</v>
      </c>
      <c r="C5" s="2" t="s">
        <v>257</v>
      </c>
      <c r="D5" s="2" t="s">
        <v>258</v>
      </c>
      <c r="E5" s="2" t="s">
        <v>259</v>
      </c>
      <c r="F5" s="27" t="s">
        <v>260</v>
      </c>
    </row>
    <row r="6" spans="1:9" x14ac:dyDescent="0.35">
      <c r="A6" s="2">
        <v>1</v>
      </c>
      <c r="B6" s="2">
        <v>340</v>
      </c>
      <c r="C6" s="19">
        <f>B6/$B$16</f>
        <v>0.11276948590381426</v>
      </c>
      <c r="D6" s="19">
        <f>C6^2</f>
        <v>1.2716956951010563E-2</v>
      </c>
      <c r="E6" s="28">
        <f>C6*LN(1/C6)</f>
        <v>0.24610919639381984</v>
      </c>
      <c r="F6" s="29">
        <f>(C6-$C$17)^2</f>
        <v>1.63059770247711E-4</v>
      </c>
    </row>
    <row r="7" spans="1:9" x14ac:dyDescent="0.35">
      <c r="A7" s="2">
        <v>2</v>
      </c>
      <c r="B7" s="2">
        <v>100</v>
      </c>
      <c r="C7" s="19">
        <f t="shared" ref="C7:C15" si="0">B7/$B$16</f>
        <v>3.316749585406302E-2</v>
      </c>
      <c r="D7" s="19">
        <f t="shared" ref="D7:D15" si="1">C7^2</f>
        <v>1.1000827812292877E-3</v>
      </c>
      <c r="E7" s="28">
        <f t="shared" ref="E7:E15" si="2">C7*LN(1/C7)</f>
        <v>0.1129746243175189</v>
      </c>
      <c r="F7" s="29">
        <f t="shared" ref="F7:F15" si="3">(C7-$C$17)^2</f>
        <v>4.4665836104166847E-3</v>
      </c>
      <c r="H7" s="1" t="s">
        <v>261</v>
      </c>
    </row>
    <row r="8" spans="1:9" x14ac:dyDescent="0.35">
      <c r="A8" s="2">
        <v>3</v>
      </c>
      <c r="B8" s="2">
        <v>500</v>
      </c>
      <c r="C8" s="19">
        <f t="shared" si="0"/>
        <v>0.16583747927031509</v>
      </c>
      <c r="D8" s="19">
        <f t="shared" si="1"/>
        <v>2.7502069530732184E-2</v>
      </c>
      <c r="E8" s="28">
        <f t="shared" si="2"/>
        <v>0.2979679951474451</v>
      </c>
      <c r="F8" s="29">
        <f t="shared" si="3"/>
        <v>4.3345736766691682E-3</v>
      </c>
      <c r="I8" s="1" t="s">
        <v>262</v>
      </c>
    </row>
    <row r="9" spans="1:9" x14ac:dyDescent="0.35">
      <c r="A9" s="2">
        <v>4</v>
      </c>
      <c r="B9" s="2">
        <v>310</v>
      </c>
      <c r="C9" s="19">
        <f t="shared" si="0"/>
        <v>0.10281923714759536</v>
      </c>
      <c r="D9" s="19">
        <f t="shared" si="1"/>
        <v>1.0571795527613453E-2</v>
      </c>
      <c r="E9" s="28">
        <f t="shared" si="2"/>
        <v>0.23389143337361495</v>
      </c>
      <c r="F9" s="29">
        <f t="shared" si="3"/>
        <v>7.948098094381592E-6</v>
      </c>
    </row>
    <row r="10" spans="1:9" x14ac:dyDescent="0.35">
      <c r="A10" s="2">
        <v>5</v>
      </c>
      <c r="B10" s="2">
        <v>250</v>
      </c>
      <c r="C10" s="19">
        <f t="shared" si="0"/>
        <v>8.2918739635157543E-2</v>
      </c>
      <c r="D10" s="19">
        <f t="shared" si="1"/>
        <v>6.8755173826830461E-3</v>
      </c>
      <c r="E10" s="28">
        <f t="shared" si="2"/>
        <v>0.2064588881674162</v>
      </c>
      <c r="F10" s="29">
        <f t="shared" si="3"/>
        <v>2.9176945565153808E-4</v>
      </c>
    </row>
    <row r="11" spans="1:9" x14ac:dyDescent="0.35">
      <c r="A11" s="2">
        <v>6</v>
      </c>
      <c r="B11" s="2">
        <v>420</v>
      </c>
      <c r="C11" s="19">
        <f t="shared" si="0"/>
        <v>0.13930348258706468</v>
      </c>
      <c r="D11" s="19">
        <f t="shared" si="1"/>
        <v>1.9405460260884633E-2</v>
      </c>
      <c r="E11" s="28">
        <f t="shared" si="2"/>
        <v>0.2745811499539722</v>
      </c>
      <c r="F11" s="29">
        <f t="shared" si="3"/>
        <v>1.5447637434716961E-3</v>
      </c>
    </row>
    <row r="12" spans="1:9" x14ac:dyDescent="0.35">
      <c r="A12" s="2">
        <v>7</v>
      </c>
      <c r="B12" s="2">
        <v>125</v>
      </c>
      <c r="C12" s="19">
        <f t="shared" si="0"/>
        <v>4.1459369817578771E-2</v>
      </c>
      <c r="D12" s="19">
        <f t="shared" si="1"/>
        <v>1.7188793456707615E-3</v>
      </c>
      <c r="E12" s="28">
        <f t="shared" si="2"/>
        <v>0.13196688938055492</v>
      </c>
      <c r="F12" s="29">
        <f t="shared" si="3"/>
        <v>3.4270053821550081E-3</v>
      </c>
    </row>
    <row r="13" spans="1:9" x14ac:dyDescent="0.35">
      <c r="A13" s="2">
        <v>8</v>
      </c>
      <c r="B13" s="2">
        <v>190</v>
      </c>
      <c r="C13" s="19">
        <f t="shared" si="0"/>
        <v>6.3018242122719739E-2</v>
      </c>
      <c r="D13" s="19">
        <f t="shared" si="1"/>
        <v>3.9712988402377282E-3</v>
      </c>
      <c r="E13" s="28">
        <f t="shared" si="2"/>
        <v>0.17420328259706533</v>
      </c>
      <c r="F13" s="29">
        <f t="shared" si="3"/>
        <v>1.367650415693781E-3</v>
      </c>
    </row>
    <row r="14" spans="1:9" x14ac:dyDescent="0.35">
      <c r="A14" s="2">
        <v>9</v>
      </c>
      <c r="B14" s="2">
        <v>230</v>
      </c>
      <c r="C14" s="19">
        <f t="shared" si="0"/>
        <v>7.6285240464344942E-2</v>
      </c>
      <c r="D14" s="19">
        <f t="shared" si="1"/>
        <v>5.8194379127029308E-3</v>
      </c>
      <c r="E14" s="28">
        <f t="shared" si="2"/>
        <v>0.19630296320224241</v>
      </c>
      <c r="F14" s="29">
        <f t="shared" si="3"/>
        <v>5.6238981983394276E-4</v>
      </c>
    </row>
    <row r="15" spans="1:9" x14ac:dyDescent="0.35">
      <c r="A15" s="2">
        <v>10</v>
      </c>
      <c r="B15" s="2">
        <v>550</v>
      </c>
      <c r="C15" s="19">
        <f t="shared" si="0"/>
        <v>0.1824212271973466</v>
      </c>
      <c r="D15" s="19">
        <f t="shared" si="1"/>
        <v>3.3277504132185949E-2</v>
      </c>
      <c r="E15" s="28">
        <f t="shared" si="2"/>
        <v>0.31037819469788491</v>
      </c>
      <c r="F15" s="29">
        <f t="shared" si="3"/>
        <v>6.7932586927166262E-3</v>
      </c>
    </row>
    <row r="16" spans="1:9" x14ac:dyDescent="0.35">
      <c r="A16" s="2" t="s">
        <v>263</v>
      </c>
      <c r="B16" s="30">
        <f>SUM(B6:B15)</f>
        <v>3015</v>
      </c>
      <c r="C16" s="28">
        <f t="shared" ref="C16:E16" si="4">SUM(C6:C15)</f>
        <v>1</v>
      </c>
      <c r="D16" s="28">
        <f t="shared" si="4"/>
        <v>0.12295900266495052</v>
      </c>
      <c r="E16" s="28">
        <f t="shared" si="4"/>
        <v>2.1848346172315347</v>
      </c>
      <c r="F16" s="31">
        <f>SUM(F6:F15)</f>
        <v>2.2959002664950542E-2</v>
      </c>
    </row>
    <row r="17" spans="1:6" x14ac:dyDescent="0.35">
      <c r="A17" s="2" t="s">
        <v>264</v>
      </c>
      <c r="B17" s="30"/>
      <c r="C17" s="3">
        <f>AVERAGE(C6:C15)</f>
        <v>0.1</v>
      </c>
      <c r="D17" s="30"/>
      <c r="E17" s="30"/>
      <c r="F17" s="27"/>
    </row>
    <row r="19" spans="1:6" x14ac:dyDescent="0.35">
      <c r="A19" s="1" t="s">
        <v>265</v>
      </c>
    </row>
    <row r="22" spans="1:6" x14ac:dyDescent="0.35">
      <c r="A22" s="7" t="s">
        <v>266</v>
      </c>
      <c r="B22" s="6">
        <f>1/D16</f>
        <v>8.1327920552908814</v>
      </c>
      <c r="C22" s="1" t="s">
        <v>267</v>
      </c>
    </row>
    <row r="24" spans="1:6" x14ac:dyDescent="0.35">
      <c r="A24" s="1" t="s">
        <v>268</v>
      </c>
    </row>
    <row r="27" spans="1:6" x14ac:dyDescent="0.35">
      <c r="A27" s="7" t="s">
        <v>269</v>
      </c>
      <c r="B27" s="6">
        <f>1-D16</f>
        <v>0.87704099733504948</v>
      </c>
      <c r="C27" s="1" t="s">
        <v>270</v>
      </c>
    </row>
    <row r="29" spans="1:6" x14ac:dyDescent="0.35">
      <c r="A29" s="1" t="s">
        <v>271</v>
      </c>
    </row>
    <row r="32" spans="1:6" x14ac:dyDescent="0.35">
      <c r="A32" s="7" t="s">
        <v>272</v>
      </c>
      <c r="B32" s="22">
        <f>E16</f>
        <v>2.1848346172315347</v>
      </c>
      <c r="C32" s="1" t="s">
        <v>273</v>
      </c>
    </row>
    <row r="34" spans="1:11" x14ac:dyDescent="0.35">
      <c r="A34" s="1" t="s">
        <v>274</v>
      </c>
    </row>
    <row r="38" spans="1:11" x14ac:dyDescent="0.35">
      <c r="A38" s="7" t="s">
        <v>275</v>
      </c>
      <c r="B38" s="22">
        <f>SQRT((1/9)*F16)</f>
        <v>5.0507428128005245E-2</v>
      </c>
      <c r="C38" s="1" t="s">
        <v>276</v>
      </c>
    </row>
    <row r="40" spans="1:11" x14ac:dyDescent="0.35">
      <c r="A40" s="1" t="s">
        <v>277</v>
      </c>
    </row>
    <row r="44" spans="1:11" x14ac:dyDescent="0.35">
      <c r="B44" s="28">
        <f t="shared" ref="B44:B53" si="5">ABS($C$6-C6)</f>
        <v>0</v>
      </c>
      <c r="C44" s="28">
        <f t="shared" ref="C44:C53" si="6">ABS($C$7-C6)</f>
        <v>7.9601990049751242E-2</v>
      </c>
      <c r="D44" s="28">
        <f t="shared" ref="D44:D53" si="7">ABS($C$8-C6)</f>
        <v>5.3067993366500824E-2</v>
      </c>
      <c r="E44" s="28">
        <f t="shared" ref="E44:E53" si="8">ABS($C$9-C6)</f>
        <v>9.9502487562189018E-3</v>
      </c>
      <c r="F44" s="28">
        <f t="shared" ref="F44:F53" si="9">ABS($C$10-C6)</f>
        <v>2.9850746268656719E-2</v>
      </c>
      <c r="G44" s="28">
        <f t="shared" ref="G44:G53" si="10">ABS($C$11-C6)</f>
        <v>2.6533996683250419E-2</v>
      </c>
      <c r="H44" s="28">
        <f t="shared" ref="H44:H53" si="11">ABS($C$12-C6)</f>
        <v>7.1310116086235498E-2</v>
      </c>
      <c r="I44" s="28">
        <f t="shared" ref="I44:I53" si="12">ABS($C$13-C6)</f>
        <v>4.9751243781094523E-2</v>
      </c>
      <c r="J44" s="28">
        <f t="shared" ref="J44:J53" si="13">ABS($C$14-C6)</f>
        <v>3.6484245439469321E-2</v>
      </c>
      <c r="K44" s="28">
        <f t="shared" ref="K44:K53" si="14">ABS($C$15-C6)</f>
        <v>6.965174129353234E-2</v>
      </c>
    </row>
    <row r="45" spans="1:11" x14ac:dyDescent="0.35">
      <c r="B45" s="28">
        <f t="shared" si="5"/>
        <v>7.9601990049751242E-2</v>
      </c>
      <c r="C45" s="28">
        <f t="shared" si="6"/>
        <v>0</v>
      </c>
      <c r="D45" s="28">
        <f t="shared" si="7"/>
        <v>0.13266998341625208</v>
      </c>
      <c r="E45" s="28">
        <f t="shared" si="8"/>
        <v>6.965174129353234E-2</v>
      </c>
      <c r="F45" s="28">
        <f t="shared" si="9"/>
        <v>4.9751243781094523E-2</v>
      </c>
      <c r="G45" s="28">
        <f t="shared" si="10"/>
        <v>0.10613598673300166</v>
      </c>
      <c r="H45" s="28">
        <f t="shared" si="11"/>
        <v>8.2918739635157515E-3</v>
      </c>
      <c r="I45" s="28">
        <f t="shared" si="12"/>
        <v>2.9850746268656719E-2</v>
      </c>
      <c r="J45" s="28">
        <f t="shared" si="13"/>
        <v>4.3117744610281922E-2</v>
      </c>
      <c r="K45" s="28">
        <f t="shared" si="14"/>
        <v>0.14925373134328357</v>
      </c>
    </row>
    <row r="46" spans="1:11" x14ac:dyDescent="0.35">
      <c r="B46" s="28">
        <f t="shared" si="5"/>
        <v>5.3067993366500824E-2</v>
      </c>
      <c r="C46" s="28">
        <f t="shared" si="6"/>
        <v>0.13266998341625208</v>
      </c>
      <c r="D46" s="28">
        <f t="shared" si="7"/>
        <v>0</v>
      </c>
      <c r="E46" s="28">
        <f t="shared" si="8"/>
        <v>6.3018242122719725E-2</v>
      </c>
      <c r="F46" s="28">
        <f t="shared" si="9"/>
        <v>8.2918739635157543E-2</v>
      </c>
      <c r="G46" s="28">
        <f t="shared" si="10"/>
        <v>2.6533996683250405E-2</v>
      </c>
      <c r="H46" s="28">
        <f t="shared" si="11"/>
        <v>0.12437810945273631</v>
      </c>
      <c r="I46" s="28">
        <f t="shared" si="12"/>
        <v>0.10281923714759535</v>
      </c>
      <c r="J46" s="28">
        <f t="shared" si="13"/>
        <v>8.9552238805970144E-2</v>
      </c>
      <c r="K46" s="28">
        <f t="shared" si="14"/>
        <v>1.6583747927031517E-2</v>
      </c>
    </row>
    <row r="47" spans="1:11" x14ac:dyDescent="0.35">
      <c r="B47" s="28">
        <f t="shared" si="5"/>
        <v>9.9502487562189018E-3</v>
      </c>
      <c r="C47" s="28">
        <f t="shared" si="6"/>
        <v>6.965174129353234E-2</v>
      </c>
      <c r="D47" s="28">
        <f t="shared" si="7"/>
        <v>6.3018242122719725E-2</v>
      </c>
      <c r="E47" s="28">
        <f t="shared" si="8"/>
        <v>0</v>
      </c>
      <c r="F47" s="28">
        <f t="shared" si="9"/>
        <v>1.9900497512437818E-2</v>
      </c>
      <c r="G47" s="28">
        <f t="shared" si="10"/>
        <v>3.6484245439469321E-2</v>
      </c>
      <c r="H47" s="28">
        <f t="shared" si="11"/>
        <v>6.1359867330016589E-2</v>
      </c>
      <c r="I47" s="28">
        <f t="shared" si="12"/>
        <v>3.9800995024875621E-2</v>
      </c>
      <c r="J47" s="28">
        <f t="shared" si="13"/>
        <v>2.6533996683250419E-2</v>
      </c>
      <c r="K47" s="28">
        <f t="shared" si="14"/>
        <v>7.9601990049751242E-2</v>
      </c>
    </row>
    <row r="48" spans="1:11" x14ac:dyDescent="0.35">
      <c r="B48" s="28">
        <f t="shared" si="5"/>
        <v>2.9850746268656719E-2</v>
      </c>
      <c r="C48" s="28">
        <f t="shared" si="6"/>
        <v>4.9751243781094523E-2</v>
      </c>
      <c r="D48" s="28">
        <f t="shared" si="7"/>
        <v>8.2918739635157543E-2</v>
      </c>
      <c r="E48" s="28">
        <f t="shared" si="8"/>
        <v>1.9900497512437818E-2</v>
      </c>
      <c r="F48" s="28">
        <f t="shared" si="9"/>
        <v>0</v>
      </c>
      <c r="G48" s="28">
        <f t="shared" si="10"/>
        <v>5.6384742951907138E-2</v>
      </c>
      <c r="H48" s="28">
        <f t="shared" si="11"/>
        <v>4.1459369817578771E-2</v>
      </c>
      <c r="I48" s="28">
        <f t="shared" si="12"/>
        <v>1.9900497512437804E-2</v>
      </c>
      <c r="J48" s="28">
        <f t="shared" si="13"/>
        <v>6.6334991708126012E-3</v>
      </c>
      <c r="K48" s="28">
        <f t="shared" si="14"/>
        <v>9.950248756218906E-2</v>
      </c>
    </row>
    <row r="49" spans="1:11" x14ac:dyDescent="0.35">
      <c r="B49" s="28">
        <f t="shared" si="5"/>
        <v>2.6533996683250419E-2</v>
      </c>
      <c r="C49" s="28">
        <f t="shared" si="6"/>
        <v>0.10613598673300166</v>
      </c>
      <c r="D49" s="28">
        <f t="shared" si="7"/>
        <v>2.6533996683250405E-2</v>
      </c>
      <c r="E49" s="28">
        <f t="shared" si="8"/>
        <v>3.6484245439469321E-2</v>
      </c>
      <c r="F49" s="28">
        <f t="shared" si="9"/>
        <v>5.6384742951907138E-2</v>
      </c>
      <c r="G49" s="28">
        <f t="shared" si="10"/>
        <v>0</v>
      </c>
      <c r="H49" s="28">
        <f t="shared" si="11"/>
        <v>9.7844112769485903E-2</v>
      </c>
      <c r="I49" s="28">
        <f t="shared" si="12"/>
        <v>7.6285240464344942E-2</v>
      </c>
      <c r="J49" s="28">
        <f t="shared" si="13"/>
        <v>6.3018242122719739E-2</v>
      </c>
      <c r="K49" s="28">
        <f t="shared" si="14"/>
        <v>4.3117744610281922E-2</v>
      </c>
    </row>
    <row r="50" spans="1:11" x14ac:dyDescent="0.35">
      <c r="B50" s="28">
        <f t="shared" si="5"/>
        <v>7.1310116086235498E-2</v>
      </c>
      <c r="C50" s="28">
        <f t="shared" si="6"/>
        <v>8.2918739635157515E-3</v>
      </c>
      <c r="D50" s="28">
        <f t="shared" si="7"/>
        <v>0.12437810945273631</v>
      </c>
      <c r="E50" s="28">
        <f t="shared" si="8"/>
        <v>6.1359867330016589E-2</v>
      </c>
      <c r="F50" s="28">
        <f t="shared" si="9"/>
        <v>4.1459369817578771E-2</v>
      </c>
      <c r="G50" s="28">
        <f t="shared" si="10"/>
        <v>9.7844112769485903E-2</v>
      </c>
      <c r="H50" s="28">
        <f t="shared" si="11"/>
        <v>0</v>
      </c>
      <c r="I50" s="28">
        <f t="shared" si="12"/>
        <v>2.1558872305140968E-2</v>
      </c>
      <c r="J50" s="28">
        <f t="shared" si="13"/>
        <v>3.482587064676617E-2</v>
      </c>
      <c r="K50" s="28">
        <f t="shared" si="14"/>
        <v>0.14096185737976782</v>
      </c>
    </row>
    <row r="51" spans="1:11" x14ac:dyDescent="0.35">
      <c r="B51" s="28">
        <f t="shared" si="5"/>
        <v>4.9751243781094523E-2</v>
      </c>
      <c r="C51" s="28">
        <f t="shared" si="6"/>
        <v>2.9850746268656719E-2</v>
      </c>
      <c r="D51" s="28">
        <f t="shared" si="7"/>
        <v>0.10281923714759535</v>
      </c>
      <c r="E51" s="28">
        <f t="shared" si="8"/>
        <v>3.9800995024875621E-2</v>
      </c>
      <c r="F51" s="28">
        <f t="shared" si="9"/>
        <v>1.9900497512437804E-2</v>
      </c>
      <c r="G51" s="28">
        <f t="shared" si="10"/>
        <v>7.6285240464344942E-2</v>
      </c>
      <c r="H51" s="28">
        <f t="shared" si="11"/>
        <v>2.1558872305140968E-2</v>
      </c>
      <c r="I51" s="28">
        <f t="shared" si="12"/>
        <v>0</v>
      </c>
      <c r="J51" s="28">
        <f t="shared" si="13"/>
        <v>1.3266998341625202E-2</v>
      </c>
      <c r="K51" s="28">
        <f t="shared" si="14"/>
        <v>0.11940298507462686</v>
      </c>
    </row>
    <row r="52" spans="1:11" x14ac:dyDescent="0.35">
      <c r="B52" s="28">
        <f t="shared" si="5"/>
        <v>3.6484245439469321E-2</v>
      </c>
      <c r="C52" s="28">
        <f t="shared" si="6"/>
        <v>4.3117744610281922E-2</v>
      </c>
      <c r="D52" s="28">
        <f t="shared" si="7"/>
        <v>8.9552238805970144E-2</v>
      </c>
      <c r="E52" s="28">
        <f t="shared" si="8"/>
        <v>2.6533996683250419E-2</v>
      </c>
      <c r="F52" s="28">
        <f t="shared" si="9"/>
        <v>6.6334991708126012E-3</v>
      </c>
      <c r="G52" s="28">
        <f t="shared" si="10"/>
        <v>6.3018242122719739E-2</v>
      </c>
      <c r="H52" s="28">
        <f t="shared" si="11"/>
        <v>3.482587064676617E-2</v>
      </c>
      <c r="I52" s="28">
        <f t="shared" si="12"/>
        <v>1.3266998341625202E-2</v>
      </c>
      <c r="J52" s="28">
        <f t="shared" si="13"/>
        <v>0</v>
      </c>
      <c r="K52" s="28">
        <f t="shared" si="14"/>
        <v>0.10613598673300166</v>
      </c>
    </row>
    <row r="53" spans="1:11" x14ac:dyDescent="0.35">
      <c r="B53" s="28">
        <f t="shared" si="5"/>
        <v>6.965174129353234E-2</v>
      </c>
      <c r="C53" s="28">
        <f t="shared" si="6"/>
        <v>0.14925373134328357</v>
      </c>
      <c r="D53" s="28">
        <f t="shared" si="7"/>
        <v>1.6583747927031517E-2</v>
      </c>
      <c r="E53" s="28">
        <f t="shared" si="8"/>
        <v>7.9601990049751242E-2</v>
      </c>
      <c r="F53" s="28">
        <f t="shared" si="9"/>
        <v>9.950248756218906E-2</v>
      </c>
      <c r="G53" s="28">
        <f t="shared" si="10"/>
        <v>4.3117744610281922E-2</v>
      </c>
      <c r="H53" s="28">
        <f t="shared" si="11"/>
        <v>0.14096185737976782</v>
      </c>
      <c r="I53" s="28">
        <f t="shared" si="12"/>
        <v>0.11940298507462686</v>
      </c>
      <c r="J53" s="28">
        <f t="shared" si="13"/>
        <v>0.10613598673300166</v>
      </c>
      <c r="K53" s="28">
        <f t="shared" si="14"/>
        <v>0</v>
      </c>
    </row>
    <row r="55" spans="1:11" x14ac:dyDescent="0.35">
      <c r="D55" s="1" t="s">
        <v>263</v>
      </c>
      <c r="E55" s="32">
        <f>SUM(B44:K53)</f>
        <v>5.4494195688225533</v>
      </c>
    </row>
    <row r="57" spans="1:11" x14ac:dyDescent="0.35">
      <c r="A57" s="7" t="s">
        <v>278</v>
      </c>
      <c r="B57" s="22">
        <f>E55/(2*100*C17)</f>
        <v>0.27247097844112766</v>
      </c>
      <c r="C57" s="1" t="s">
        <v>279</v>
      </c>
    </row>
    <row r="60" spans="1:11" x14ac:dyDescent="0.35">
      <c r="A60" s="1" t="s">
        <v>280</v>
      </c>
    </row>
    <row r="61" spans="1:11" x14ac:dyDescent="0.35">
      <c r="A61" s="1" t="s">
        <v>281</v>
      </c>
    </row>
    <row r="63" spans="1:11" x14ac:dyDescent="0.35">
      <c r="B63" s="2" t="s">
        <v>4</v>
      </c>
      <c r="C63" s="2" t="s">
        <v>5</v>
      </c>
      <c r="D63" s="2" t="s">
        <v>6</v>
      </c>
    </row>
    <row r="64" spans="1:11" x14ac:dyDescent="0.35">
      <c r="B64" s="3">
        <v>7.0000000000000007E-2</v>
      </c>
      <c r="C64" s="2">
        <v>0.16</v>
      </c>
      <c r="D64" s="2">
        <v>0.14000000000000001</v>
      </c>
      <c r="F64" s="7" t="s">
        <v>282</v>
      </c>
    </row>
    <row r="65" spans="1:7" x14ac:dyDescent="0.35">
      <c r="B65" s="3">
        <v>7.4999999999999997E-2</v>
      </c>
      <c r="C65" s="2">
        <v>0.13</v>
      </c>
      <c r="D65" s="2">
        <v>0.13</v>
      </c>
      <c r="F65" s="7" t="s">
        <v>283</v>
      </c>
    </row>
    <row r="66" spans="1:7" x14ac:dyDescent="0.35">
      <c r="B66" s="3">
        <v>0.1</v>
      </c>
      <c r="C66" s="2">
        <v>0.05</v>
      </c>
      <c r="D66" s="2">
        <v>0.09</v>
      </c>
      <c r="F66" s="7" t="s">
        <v>284</v>
      </c>
    </row>
    <row r="67" spans="1:7" x14ac:dyDescent="0.35">
      <c r="B67" s="3">
        <v>0.05</v>
      </c>
      <c r="C67" s="2">
        <v>0.21</v>
      </c>
      <c r="D67" s="2">
        <v>7.0000000000000007E-2</v>
      </c>
    </row>
    <row r="68" spans="1:7" x14ac:dyDescent="0.35">
      <c r="B68" s="3">
        <v>0.12</v>
      </c>
      <c r="C68" s="2">
        <v>0.14000000000000001</v>
      </c>
      <c r="D68" s="2">
        <v>0.16</v>
      </c>
    </row>
    <row r="69" spans="1:7" x14ac:dyDescent="0.35">
      <c r="B69" s="3">
        <v>0.06</v>
      </c>
      <c r="C69" s="2">
        <v>0.23</v>
      </c>
      <c r="D69" s="2">
        <v>0.18</v>
      </c>
    </row>
    <row r="70" spans="1:7" x14ac:dyDescent="0.35">
      <c r="B70" s="3">
        <v>0.2</v>
      </c>
      <c r="C70" s="2">
        <v>0.24</v>
      </c>
      <c r="D70" s="2">
        <v>0.22</v>
      </c>
    </row>
    <row r="71" spans="1:7" x14ac:dyDescent="0.35">
      <c r="B71" s="3">
        <v>0.15</v>
      </c>
      <c r="C71" s="2">
        <v>0.15</v>
      </c>
      <c r="D71" s="2">
        <v>0.27</v>
      </c>
    </row>
    <row r="72" spans="1:7" x14ac:dyDescent="0.35">
      <c r="B72" s="3">
        <v>0.09</v>
      </c>
      <c r="C72" s="2">
        <v>0.08</v>
      </c>
      <c r="D72" s="2">
        <v>0.24</v>
      </c>
    </row>
    <row r="73" spans="1:7" x14ac:dyDescent="0.35">
      <c r="B73" s="3">
        <v>0.14000000000000001</v>
      </c>
      <c r="C73" s="2">
        <v>0.03</v>
      </c>
      <c r="D73" s="2">
        <v>0.12</v>
      </c>
    </row>
    <row r="74" spans="1:7" x14ac:dyDescent="0.35">
      <c r="A74" s="7" t="s">
        <v>264</v>
      </c>
      <c r="B74" s="19">
        <f>AVERAGE(B64:B73)</f>
        <v>0.10550000000000001</v>
      </c>
      <c r="C74" s="19">
        <f t="shared" ref="C74:D74" si="15">AVERAGE(C64:C73)</f>
        <v>0.14200000000000002</v>
      </c>
      <c r="D74" s="19">
        <f t="shared" si="15"/>
        <v>0.16200000000000001</v>
      </c>
      <c r="F74" s="7" t="s">
        <v>285</v>
      </c>
      <c r="G74" s="8">
        <f>AVERAGE(B64:D73)</f>
        <v>0.13650000000000001</v>
      </c>
    </row>
    <row r="77" spans="1:7" x14ac:dyDescent="0.35">
      <c r="A77" s="1" t="s">
        <v>286</v>
      </c>
    </row>
    <row r="79" spans="1:7" x14ac:dyDescent="0.35">
      <c r="F79" s="25"/>
    </row>
    <row r="80" spans="1:7" x14ac:dyDescent="0.35">
      <c r="F80" s="33"/>
    </row>
    <row r="84" spans="2:7" x14ac:dyDescent="0.35">
      <c r="B84" s="1" t="s">
        <v>287</v>
      </c>
    </row>
    <row r="85" spans="2:7" x14ac:dyDescent="0.35">
      <c r="B85" s="34">
        <f>(B74-$G$74)^2</f>
        <v>9.6099999999999994E-4</v>
      </c>
      <c r="C85" s="34">
        <f>(C74-$G$74)^2</f>
        <v>3.0250000000000054E-5</v>
      </c>
      <c r="D85" s="2">
        <f>(D74-$G$74)^2</f>
        <v>6.5024999999999979E-4</v>
      </c>
      <c r="F85" s="7" t="s">
        <v>263</v>
      </c>
      <c r="G85" s="35">
        <f>B85+C85+D85</f>
        <v>1.6414999999999997E-3</v>
      </c>
    </row>
    <row r="88" spans="2:7" x14ac:dyDescent="0.35">
      <c r="B88" s="1" t="s">
        <v>288</v>
      </c>
    </row>
    <row r="89" spans="2:7" x14ac:dyDescent="0.35">
      <c r="B89" s="34">
        <f>(B64-$G$74)^2</f>
        <v>4.4222500000000008E-3</v>
      </c>
      <c r="C89" s="34">
        <f>(C64-$G$74)^2</f>
        <v>5.5224999999999968E-4</v>
      </c>
      <c r="D89" s="34">
        <f>(D64-$G$74)^2</f>
        <v>1.2250000000000022E-5</v>
      </c>
    </row>
    <row r="90" spans="2:7" x14ac:dyDescent="0.35">
      <c r="B90" s="34">
        <f t="shared" ref="B90:D98" si="16">(B65-$G$74)^2</f>
        <v>3.7822500000000018E-3</v>
      </c>
      <c r="C90" s="34">
        <f t="shared" si="16"/>
        <v>4.2250000000000078E-5</v>
      </c>
      <c r="D90" s="34">
        <f t="shared" si="16"/>
        <v>4.2250000000000078E-5</v>
      </c>
    </row>
    <row r="91" spans="2:7" x14ac:dyDescent="0.35">
      <c r="B91" s="34">
        <f t="shared" si="16"/>
        <v>1.3322500000000003E-3</v>
      </c>
      <c r="C91" s="34">
        <f t="shared" si="16"/>
        <v>7.4822500000000011E-3</v>
      </c>
      <c r="D91" s="34">
        <f t="shared" si="16"/>
        <v>2.1622500000000014E-3</v>
      </c>
    </row>
    <row r="92" spans="2:7" x14ac:dyDescent="0.35">
      <c r="B92" s="34">
        <f t="shared" si="16"/>
        <v>7.4822500000000011E-3</v>
      </c>
      <c r="C92" s="34">
        <f t="shared" si="16"/>
        <v>5.4022499999999973E-3</v>
      </c>
      <c r="D92" s="34">
        <f t="shared" si="16"/>
        <v>4.4222500000000008E-3</v>
      </c>
    </row>
    <row r="93" spans="2:7" x14ac:dyDescent="0.35">
      <c r="B93" s="34">
        <f t="shared" si="16"/>
        <v>2.7225000000000046E-4</v>
      </c>
      <c r="C93" s="34">
        <f t="shared" si="16"/>
        <v>1.2250000000000022E-5</v>
      </c>
      <c r="D93" s="34">
        <f t="shared" si="16"/>
        <v>5.5224999999999968E-4</v>
      </c>
    </row>
    <row r="94" spans="2:7" x14ac:dyDescent="0.35">
      <c r="B94" s="34">
        <f t="shared" si="16"/>
        <v>5.8522500000000015E-3</v>
      </c>
      <c r="C94" s="34">
        <f t="shared" si="16"/>
        <v>8.74225E-3</v>
      </c>
      <c r="D94" s="34">
        <f t="shared" si="16"/>
        <v>1.8922499999999985E-3</v>
      </c>
      <c r="F94" s="7" t="s">
        <v>263</v>
      </c>
      <c r="G94" s="35">
        <f>SUM(B89:D98)</f>
        <v>0.1220575</v>
      </c>
    </row>
    <row r="95" spans="2:7" x14ac:dyDescent="0.35">
      <c r="B95" s="34">
        <f t="shared" si="16"/>
        <v>4.0322500000000002E-3</v>
      </c>
      <c r="C95" s="34">
        <f t="shared" si="16"/>
        <v>1.0712249999999996E-2</v>
      </c>
      <c r="D95" s="34">
        <f t="shared" si="16"/>
        <v>6.9722499999999984E-3</v>
      </c>
    </row>
    <row r="96" spans="2:7" x14ac:dyDescent="0.35">
      <c r="B96" s="34">
        <f t="shared" si="16"/>
        <v>1.8224999999999958E-4</v>
      </c>
      <c r="C96" s="34">
        <f t="shared" si="16"/>
        <v>1.8224999999999958E-4</v>
      </c>
      <c r="D96" s="34">
        <f t="shared" si="16"/>
        <v>1.7822250000000001E-2</v>
      </c>
    </row>
    <row r="97" spans="1:8" x14ac:dyDescent="0.35">
      <c r="B97" s="34">
        <f t="shared" si="16"/>
        <v>2.1622500000000014E-3</v>
      </c>
      <c r="C97" s="34">
        <f t="shared" si="16"/>
        <v>3.1922500000000011E-3</v>
      </c>
      <c r="D97" s="34">
        <f t="shared" si="16"/>
        <v>1.0712249999999996E-2</v>
      </c>
    </row>
    <row r="98" spans="1:8" x14ac:dyDescent="0.35">
      <c r="B98" s="34">
        <f t="shared" si="16"/>
        <v>1.2250000000000022E-5</v>
      </c>
      <c r="C98" s="34">
        <f t="shared" si="16"/>
        <v>1.1342250000000002E-2</v>
      </c>
      <c r="D98" s="34">
        <f t="shared" si="16"/>
        <v>2.7225000000000046E-4</v>
      </c>
    </row>
    <row r="101" spans="1:8" x14ac:dyDescent="0.35">
      <c r="A101" s="7" t="s">
        <v>289</v>
      </c>
      <c r="B101" s="22">
        <f>SQRT(((1/3)*G85)/((1/30)*G94))</f>
        <v>0.36672305031059776</v>
      </c>
      <c r="C101" s="1" t="s">
        <v>290</v>
      </c>
    </row>
    <row r="104" spans="1:8" x14ac:dyDescent="0.35">
      <c r="A104" s="1" t="s">
        <v>291</v>
      </c>
    </row>
    <row r="105" spans="1:8" x14ac:dyDescent="0.35">
      <c r="B105" s="1" t="s">
        <v>292</v>
      </c>
    </row>
    <row r="110" spans="1:8" ht="15" thickBot="1" x14ac:dyDescent="0.4"/>
    <row r="111" spans="1:8" x14ac:dyDescent="0.35">
      <c r="B111" s="12"/>
      <c r="C111" s="12" t="s">
        <v>4</v>
      </c>
      <c r="D111" s="12" t="s">
        <v>5</v>
      </c>
      <c r="E111" s="12" t="s">
        <v>6</v>
      </c>
      <c r="G111" s="2" t="s">
        <v>293</v>
      </c>
      <c r="H111" s="9">
        <f t="array" ref="H111">MDETERM(C112:E114)</f>
        <v>0.69723237317507158</v>
      </c>
    </row>
    <row r="112" spans="1:8" x14ac:dyDescent="0.35">
      <c r="B112" s="1" t="s">
        <v>4</v>
      </c>
      <c r="C112" s="32">
        <v>1</v>
      </c>
      <c r="D112" s="32">
        <f>C113</f>
        <v>-2.7997592401423986E-2</v>
      </c>
      <c r="E112" s="32">
        <f>C114</f>
        <v>0.50787389543372108</v>
      </c>
      <c r="G112" s="2" t="s">
        <v>294</v>
      </c>
      <c r="H112" s="7">
        <f t="array" ref="H112">MDETERM(D113:E114)</f>
        <v>0.96152999323619759</v>
      </c>
    </row>
    <row r="113" spans="2:9" x14ac:dyDescent="0.35">
      <c r="B113" s="1" t="s">
        <v>5</v>
      </c>
      <c r="C113" s="32">
        <v>-2.7997592401423986E-2</v>
      </c>
      <c r="D113" s="32">
        <v>1</v>
      </c>
      <c r="E113" s="32">
        <f>D114</f>
        <v>0.19613772396915999</v>
      </c>
    </row>
    <row r="114" spans="2:9" ht="15" thickBot="1" x14ac:dyDescent="0.4">
      <c r="B114" s="13" t="s">
        <v>6</v>
      </c>
      <c r="C114" s="36">
        <v>0.50787389543372108</v>
      </c>
      <c r="D114" s="36">
        <v>0.19613772396915999</v>
      </c>
      <c r="E114" s="36">
        <v>1</v>
      </c>
    </row>
    <row r="117" spans="2:9" x14ac:dyDescent="0.35">
      <c r="B117" s="1" t="s">
        <v>295</v>
      </c>
    </row>
    <row r="119" spans="2:9" x14ac:dyDescent="0.35">
      <c r="E119" s="1" t="s">
        <v>72</v>
      </c>
    </row>
    <row r="120" spans="2:9" x14ac:dyDescent="0.35">
      <c r="E120" s="1" t="s">
        <v>73</v>
      </c>
    </row>
    <row r="122" spans="2:9" ht="15" thickBot="1" x14ac:dyDescent="0.4">
      <c r="B122" s="1" t="s">
        <v>296</v>
      </c>
      <c r="D122" s="1" t="s">
        <v>297</v>
      </c>
    </row>
    <row r="123" spans="2:9" x14ac:dyDescent="0.35">
      <c r="F123" s="12"/>
      <c r="G123" s="12" t="s">
        <v>4</v>
      </c>
      <c r="H123" s="12" t="s">
        <v>5</v>
      </c>
      <c r="I123" s="12" t="s">
        <v>6</v>
      </c>
    </row>
    <row r="124" spans="2:9" x14ac:dyDescent="0.35">
      <c r="B124" s="7" t="s">
        <v>298</v>
      </c>
      <c r="C124" s="37">
        <f>FINV(0.05,3,26)</f>
        <v>2.9751539639733933</v>
      </c>
      <c r="F124" s="1" t="s">
        <v>4</v>
      </c>
      <c r="G124" s="38" t="s">
        <v>77</v>
      </c>
      <c r="H124" s="38"/>
      <c r="I124" s="38"/>
    </row>
    <row r="125" spans="2:9" x14ac:dyDescent="0.35">
      <c r="F125" s="1" t="s">
        <v>5</v>
      </c>
      <c r="G125" s="38" t="s">
        <v>299</v>
      </c>
      <c r="H125" s="38" t="s">
        <v>77</v>
      </c>
      <c r="I125" s="38"/>
    </row>
    <row r="126" spans="2:9" ht="15" thickBot="1" x14ac:dyDescent="0.4">
      <c r="B126" s="7" t="s">
        <v>300</v>
      </c>
      <c r="C126" s="8">
        <f>((C113^2)/(1-C113^2))*(26/3)</f>
        <v>6.7988275932781136E-3</v>
      </c>
      <c r="F126" s="13" t="s">
        <v>6</v>
      </c>
      <c r="G126" s="39" t="s">
        <v>77</v>
      </c>
      <c r="H126" s="39" t="s">
        <v>299</v>
      </c>
      <c r="I126" s="39" t="s">
        <v>77</v>
      </c>
    </row>
    <row r="127" spans="2:9" x14ac:dyDescent="0.35">
      <c r="B127" s="7" t="s">
        <v>86</v>
      </c>
      <c r="C127" s="8">
        <f>((C114^2)/(1-C114^2))*(26/3)</f>
        <v>3.012468050477378</v>
      </c>
    </row>
    <row r="128" spans="2:9" x14ac:dyDescent="0.35">
      <c r="B128" s="7" t="s">
        <v>87</v>
      </c>
      <c r="C128" s="8">
        <f>((D114^2)/(1-D114^2))*(26/3)</f>
        <v>0.34674604810209686</v>
      </c>
    </row>
    <row r="130" spans="1:5" x14ac:dyDescent="0.35">
      <c r="C130" s="1" t="s">
        <v>301</v>
      </c>
    </row>
    <row r="131" spans="1:5" x14ac:dyDescent="0.35">
      <c r="B131" s="1" t="s">
        <v>89</v>
      </c>
      <c r="D131" s="7" t="s">
        <v>98</v>
      </c>
      <c r="E131" s="22">
        <f>C114^2</f>
        <v>0.25793589366302228</v>
      </c>
    </row>
    <row r="132" spans="1:5" x14ac:dyDescent="0.35">
      <c r="B132" s="1" t="s">
        <v>302</v>
      </c>
      <c r="D132" s="7" t="s">
        <v>303</v>
      </c>
      <c r="E132" s="22">
        <f>1-E131</f>
        <v>0.74206410633697772</v>
      </c>
    </row>
    <row r="135" spans="1:5" x14ac:dyDescent="0.35">
      <c r="A135" s="1" t="s">
        <v>304</v>
      </c>
    </row>
    <row r="136" spans="1:5" x14ac:dyDescent="0.35">
      <c r="A136" s="1" t="s">
        <v>305</v>
      </c>
    </row>
    <row r="139" spans="1:5" x14ac:dyDescent="0.35">
      <c r="B139" s="1" t="s">
        <v>306</v>
      </c>
    </row>
    <row r="141" spans="1:5" x14ac:dyDescent="0.35">
      <c r="D141" s="2" t="s">
        <v>307</v>
      </c>
      <c r="E141" s="19">
        <f>SQRT(1-H111/H112)</f>
        <v>0.52428231485549814</v>
      </c>
    </row>
    <row r="142" spans="1:5" x14ac:dyDescent="0.35">
      <c r="D142" s="2" t="s">
        <v>308</v>
      </c>
      <c r="E142" s="19">
        <f>((E141^2)/(1-E141^2))*(26/3)</f>
        <v>3.2852452955278073</v>
      </c>
    </row>
    <row r="143" spans="1:5" x14ac:dyDescent="0.35">
      <c r="D143" s="2" t="s">
        <v>298</v>
      </c>
      <c r="E143" s="20">
        <f>C124</f>
        <v>2.9751539639733933</v>
      </c>
    </row>
    <row r="144" spans="1:5" x14ac:dyDescent="0.35">
      <c r="B144" s="1" t="s">
        <v>309</v>
      </c>
      <c r="D144" s="2" t="s">
        <v>307</v>
      </c>
      <c r="E144" s="2" t="s">
        <v>77</v>
      </c>
    </row>
    <row r="145" spans="1:5" x14ac:dyDescent="0.35">
      <c r="D145" s="2" t="s">
        <v>310</v>
      </c>
      <c r="E145" s="19">
        <f>E141^2</f>
        <v>0.2748719456702397</v>
      </c>
    </row>
    <row r="146" spans="1:5" x14ac:dyDescent="0.35">
      <c r="B146" s="1" t="s">
        <v>311</v>
      </c>
      <c r="D146" s="2" t="s">
        <v>312</v>
      </c>
      <c r="E146" s="19">
        <f>1-E145</f>
        <v>0.72512805432976024</v>
      </c>
    </row>
    <row r="148" spans="1:5" x14ac:dyDescent="0.35">
      <c r="A148" s="1" t="s">
        <v>313</v>
      </c>
    </row>
  </sheetData>
  <pageMargins left="0.7" right="0.7" top="0.75" bottom="0.75" header="0.3" footer="0.3"/>
  <pageSetup paperSize="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D3A4D-A238-4B6D-B8CC-8F2B97279FF8}">
  <dimension ref="A3:K590"/>
  <sheetViews>
    <sheetView topLeftCell="A583" workbookViewId="0">
      <selection activeCell="A266" sqref="A265:A266"/>
    </sheetView>
  </sheetViews>
  <sheetFormatPr defaultRowHeight="14.5" x14ac:dyDescent="0.35"/>
  <cols>
    <col min="1" max="1" width="8.7265625" style="1"/>
    <col min="2" max="2" width="9.54296875" style="1" bestFit="1" customWidth="1"/>
    <col min="3" max="3" width="10.26953125" style="1" bestFit="1" customWidth="1"/>
    <col min="4" max="4" width="9.54296875" style="1" customWidth="1"/>
    <col min="5" max="6" width="8.7265625" style="1"/>
    <col min="7" max="7" width="17.453125" style="1" customWidth="1"/>
    <col min="8" max="8" width="9.54296875" style="1" customWidth="1"/>
    <col min="9" max="9" width="12" style="1" bestFit="1" customWidth="1"/>
    <col min="10" max="10" width="16.81640625" style="1" bestFit="1" customWidth="1"/>
    <col min="11" max="11" width="12.26953125" style="1" bestFit="1" customWidth="1"/>
    <col min="12" max="16384" width="8.7265625" style="1"/>
  </cols>
  <sheetData>
    <row r="3" spans="1:4" x14ac:dyDescent="0.35">
      <c r="A3" s="1" t="s">
        <v>63</v>
      </c>
    </row>
    <row r="4" spans="1:4" x14ac:dyDescent="0.35">
      <c r="A4" s="1" t="s">
        <v>64</v>
      </c>
    </row>
    <row r="5" spans="1:4" x14ac:dyDescent="0.35">
      <c r="A5" s="1" t="s">
        <v>65</v>
      </c>
    </row>
    <row r="6" spans="1:4" x14ac:dyDescent="0.35">
      <c r="A6" s="1" t="s">
        <v>66</v>
      </c>
    </row>
    <row r="7" spans="1:4" x14ac:dyDescent="0.35">
      <c r="A7" s="1" t="s">
        <v>67</v>
      </c>
    </row>
    <row r="8" spans="1:4" x14ac:dyDescent="0.35">
      <c r="A8" s="1" t="s">
        <v>68</v>
      </c>
    </row>
    <row r="11" spans="1:4" x14ac:dyDescent="0.35">
      <c r="A11" s="7" t="s">
        <v>69</v>
      </c>
      <c r="B11" s="7" t="s">
        <v>4</v>
      </c>
      <c r="C11" s="7" t="s">
        <v>5</v>
      </c>
      <c r="D11" s="7" t="s">
        <v>6</v>
      </c>
    </row>
    <row r="12" spans="1:4" x14ac:dyDescent="0.35">
      <c r="A12" s="6">
        <v>479.7</v>
      </c>
      <c r="B12" s="6">
        <v>99.7</v>
      </c>
      <c r="C12" s="6">
        <v>13.7</v>
      </c>
      <c r="D12" s="6">
        <v>10.7</v>
      </c>
    </row>
    <row r="13" spans="1:4" x14ac:dyDescent="0.35">
      <c r="A13" s="6">
        <v>489.7</v>
      </c>
      <c r="B13" s="6">
        <v>100.9</v>
      </c>
      <c r="C13" s="6">
        <v>14.2</v>
      </c>
      <c r="D13" s="6">
        <v>10.9</v>
      </c>
    </row>
    <row r="14" spans="1:4" x14ac:dyDescent="0.35">
      <c r="A14" s="6">
        <v>503.8</v>
      </c>
      <c r="B14" s="6">
        <v>102.5</v>
      </c>
      <c r="C14" s="6">
        <v>14.3</v>
      </c>
      <c r="D14" s="6">
        <v>11.2</v>
      </c>
    </row>
    <row r="15" spans="1:4" x14ac:dyDescent="0.35">
      <c r="A15" s="6">
        <v>524.9</v>
      </c>
      <c r="B15" s="6">
        <v>103.5</v>
      </c>
      <c r="C15" s="6">
        <v>14.9</v>
      </c>
      <c r="D15" s="6">
        <v>11.2</v>
      </c>
    </row>
    <row r="16" spans="1:4" x14ac:dyDescent="0.35">
      <c r="A16" s="6">
        <v>542.29999999999995</v>
      </c>
      <c r="B16" s="6">
        <v>104.6</v>
      </c>
      <c r="C16" s="6">
        <v>15.3</v>
      </c>
      <c r="D16" s="6">
        <v>11.4</v>
      </c>
    </row>
    <row r="17" spans="1:7" x14ac:dyDescent="0.35">
      <c r="A17" s="6">
        <v>580.79999999999995</v>
      </c>
      <c r="B17" s="6">
        <v>108.8</v>
      </c>
      <c r="C17" s="6">
        <v>16</v>
      </c>
      <c r="D17" s="6">
        <v>11.3</v>
      </c>
    </row>
    <row r="18" spans="1:7" x14ac:dyDescent="0.35">
      <c r="A18" s="6">
        <v>616.29999999999995</v>
      </c>
      <c r="B18" s="6">
        <v>113.7</v>
      </c>
      <c r="C18" s="6">
        <v>16.8</v>
      </c>
      <c r="D18" s="6">
        <v>11.6</v>
      </c>
    </row>
    <row r="19" spans="1:7" x14ac:dyDescent="0.35">
      <c r="A19" s="6">
        <v>646.79999999999995</v>
      </c>
      <c r="B19" s="6">
        <v>116.6</v>
      </c>
      <c r="C19" s="6">
        <v>17.8</v>
      </c>
      <c r="D19" s="6">
        <v>11.7</v>
      </c>
      <c r="G19" s="4"/>
    </row>
    <row r="20" spans="1:7" x14ac:dyDescent="0.35">
      <c r="A20" s="6">
        <v>673.5</v>
      </c>
      <c r="B20" s="6">
        <v>118.6</v>
      </c>
      <c r="C20" s="6">
        <v>18.399999999999999</v>
      </c>
      <c r="D20" s="6">
        <v>11.8</v>
      </c>
    </row>
    <row r="21" spans="1:7" x14ac:dyDescent="0.35">
      <c r="A21" s="6">
        <v>701.3</v>
      </c>
      <c r="B21" s="6">
        <v>123.4</v>
      </c>
      <c r="C21" s="6">
        <v>19.899999999999999</v>
      </c>
      <c r="D21" s="6">
        <v>11.7</v>
      </c>
    </row>
    <row r="22" spans="1:7" x14ac:dyDescent="0.35">
      <c r="A22" s="6">
        <v>722.5</v>
      </c>
      <c r="B22" s="6">
        <v>125.9</v>
      </c>
      <c r="C22" s="6">
        <v>21.4</v>
      </c>
      <c r="D22" s="6">
        <v>11.4</v>
      </c>
    </row>
    <row r="23" spans="1:7" x14ac:dyDescent="0.35">
      <c r="A23" s="6">
        <v>751.6</v>
      </c>
      <c r="B23" s="6">
        <v>129.4</v>
      </c>
      <c r="C23" s="6">
        <v>22.9</v>
      </c>
      <c r="D23" s="6">
        <v>11.7</v>
      </c>
    </row>
    <row r="24" spans="1:7" x14ac:dyDescent="0.35">
      <c r="A24" s="6">
        <v>779.2</v>
      </c>
      <c r="B24" s="6">
        <v>130</v>
      </c>
      <c r="C24" s="6">
        <v>24.2</v>
      </c>
      <c r="D24" s="6">
        <v>11.8</v>
      </c>
    </row>
    <row r="25" spans="1:7" x14ac:dyDescent="0.35">
      <c r="A25" s="6">
        <v>810.3</v>
      </c>
      <c r="B25" s="6">
        <v>132.4</v>
      </c>
      <c r="C25" s="6">
        <v>25.4</v>
      </c>
      <c r="D25" s="6">
        <v>12.2</v>
      </c>
    </row>
    <row r="26" spans="1:7" x14ac:dyDescent="0.35">
      <c r="A26" s="6">
        <v>865.3</v>
      </c>
      <c r="B26" s="6">
        <v>129.4</v>
      </c>
      <c r="C26" s="6">
        <v>26.2</v>
      </c>
      <c r="D26" s="6">
        <v>12.8</v>
      </c>
    </row>
    <row r="27" spans="1:7" x14ac:dyDescent="0.35">
      <c r="A27" s="6">
        <v>858.4</v>
      </c>
      <c r="B27" s="6">
        <v>128.1</v>
      </c>
      <c r="C27" s="6">
        <v>24.8</v>
      </c>
      <c r="D27" s="6">
        <v>13</v>
      </c>
    </row>
    <row r="28" spans="1:7" x14ac:dyDescent="0.35">
      <c r="A28" s="6">
        <v>875.8</v>
      </c>
      <c r="B28" s="6">
        <v>132.30000000000001</v>
      </c>
      <c r="C28" s="6">
        <v>25.6</v>
      </c>
      <c r="D28" s="6">
        <v>12.9</v>
      </c>
    </row>
    <row r="29" spans="1:7" x14ac:dyDescent="0.35">
      <c r="A29" s="6">
        <v>906.8</v>
      </c>
      <c r="B29" s="6">
        <v>139.69999999999999</v>
      </c>
      <c r="C29" s="6">
        <v>26.8</v>
      </c>
      <c r="D29" s="6">
        <v>13.7</v>
      </c>
    </row>
    <row r="30" spans="1:7" x14ac:dyDescent="0.35">
      <c r="A30" s="6">
        <v>942.9</v>
      </c>
      <c r="B30" s="6">
        <v>145.19999999999999</v>
      </c>
      <c r="C30" s="6">
        <v>27.7</v>
      </c>
      <c r="D30" s="6">
        <v>13.1</v>
      </c>
    </row>
    <row r="31" spans="1:7" x14ac:dyDescent="0.35">
      <c r="A31" s="6">
        <v>988.8</v>
      </c>
      <c r="B31" s="6">
        <v>146.1</v>
      </c>
      <c r="C31" s="6">
        <v>28.3</v>
      </c>
      <c r="D31" s="6">
        <v>13.5</v>
      </c>
    </row>
    <row r="33" spans="1:10" ht="15" thickBot="1" x14ac:dyDescent="0.4"/>
    <row r="34" spans="1:10" x14ac:dyDescent="0.35">
      <c r="A34" s="1" t="s">
        <v>70</v>
      </c>
      <c r="F34" s="12"/>
      <c r="G34" s="12" t="s">
        <v>69</v>
      </c>
      <c r="H34" s="12" t="s">
        <v>4</v>
      </c>
      <c r="I34" s="12" t="s">
        <v>5</v>
      </c>
      <c r="J34" s="12" t="s">
        <v>6</v>
      </c>
    </row>
    <row r="35" spans="1:10" x14ac:dyDescent="0.35">
      <c r="F35" s="14" t="s">
        <v>69</v>
      </c>
      <c r="G35" s="14">
        <v>1</v>
      </c>
      <c r="H35" s="14"/>
      <c r="I35" s="14"/>
      <c r="J35" s="14"/>
    </row>
    <row r="36" spans="1:10" x14ac:dyDescent="0.35">
      <c r="F36" s="14" t="s">
        <v>4</v>
      </c>
      <c r="G36" s="15">
        <v>0.98048354463086884</v>
      </c>
      <c r="H36" s="15">
        <v>1</v>
      </c>
      <c r="I36" s="15"/>
      <c r="J36" s="15"/>
    </row>
    <row r="37" spans="1:10" x14ac:dyDescent="0.35">
      <c r="F37" s="14" t="s">
        <v>5</v>
      </c>
      <c r="G37" s="15">
        <v>0.9887311675835192</v>
      </c>
      <c r="H37" s="15">
        <v>0.97525974637806967</v>
      </c>
      <c r="I37" s="15">
        <v>1</v>
      </c>
      <c r="J37" s="15"/>
    </row>
    <row r="38" spans="1:10" ht="15" thickBot="1" x14ac:dyDescent="0.4">
      <c r="F38" s="16" t="s">
        <v>6</v>
      </c>
      <c r="G38" s="17">
        <v>0.9340030528200236</v>
      </c>
      <c r="H38" s="17">
        <v>0.87762776192849334</v>
      </c>
      <c r="I38" s="17">
        <v>0.89855185620506717</v>
      </c>
      <c r="J38" s="17">
        <v>1</v>
      </c>
    </row>
    <row r="41" spans="1:10" x14ac:dyDescent="0.35">
      <c r="A41" s="1" t="s">
        <v>71</v>
      </c>
    </row>
    <row r="43" spans="1:10" x14ac:dyDescent="0.35">
      <c r="F43" s="1" t="s">
        <v>72</v>
      </c>
    </row>
    <row r="44" spans="1:10" x14ac:dyDescent="0.35">
      <c r="F44" s="1" t="s">
        <v>73</v>
      </c>
    </row>
    <row r="46" spans="1:10" x14ac:dyDescent="0.35">
      <c r="B46" s="1" t="s">
        <v>74</v>
      </c>
    </row>
    <row r="47" spans="1:10" ht="15" thickBot="1" x14ac:dyDescent="0.4"/>
    <row r="48" spans="1:10" x14ac:dyDescent="0.35">
      <c r="B48" s="1" t="s">
        <v>75</v>
      </c>
      <c r="C48" s="1">
        <v>0.05</v>
      </c>
      <c r="E48" s="12"/>
      <c r="F48" s="12" t="s">
        <v>69</v>
      </c>
      <c r="G48" s="12" t="s">
        <v>4</v>
      </c>
      <c r="H48" s="12" t="s">
        <v>5</v>
      </c>
      <c r="I48" s="12" t="s">
        <v>6</v>
      </c>
    </row>
    <row r="49" spans="1:11" x14ac:dyDescent="0.35">
      <c r="B49" s="1" t="s">
        <v>76</v>
      </c>
      <c r="C49" s="1">
        <v>1</v>
      </c>
      <c r="E49" s="14" t="s">
        <v>69</v>
      </c>
      <c r="F49" s="14" t="s">
        <v>77</v>
      </c>
      <c r="G49" s="14"/>
      <c r="H49" s="14"/>
      <c r="I49" s="14"/>
    </row>
    <row r="50" spans="1:11" x14ac:dyDescent="0.35">
      <c r="B50" s="1" t="s">
        <v>78</v>
      </c>
      <c r="C50" s="1">
        <v>20</v>
      </c>
      <c r="E50" s="14" t="s">
        <v>4</v>
      </c>
      <c r="F50" s="14" t="s">
        <v>77</v>
      </c>
      <c r="G50" s="14" t="s">
        <v>77</v>
      </c>
      <c r="H50" s="14"/>
      <c r="I50" s="14"/>
    </row>
    <row r="51" spans="1:11" x14ac:dyDescent="0.35">
      <c r="E51" s="14" t="s">
        <v>5</v>
      </c>
      <c r="F51" s="14" t="s">
        <v>77</v>
      </c>
      <c r="G51" s="14" t="s">
        <v>77</v>
      </c>
      <c r="H51" s="14" t="s">
        <v>77</v>
      </c>
      <c r="I51" s="14"/>
    </row>
    <row r="52" spans="1:11" ht="15" thickBot="1" x14ac:dyDescent="0.4">
      <c r="B52" s="1" t="s">
        <v>79</v>
      </c>
      <c r="C52" s="4">
        <f>FINV(0.05,1,18)</f>
        <v>4.4138734191705664</v>
      </c>
      <c r="E52" s="16" t="s">
        <v>6</v>
      </c>
      <c r="F52" s="16" t="s">
        <v>77</v>
      </c>
      <c r="G52" s="16" t="s">
        <v>77</v>
      </c>
      <c r="H52" s="16" t="s">
        <v>77</v>
      </c>
      <c r="I52" s="16" t="s">
        <v>77</v>
      </c>
    </row>
    <row r="53" spans="1:11" x14ac:dyDescent="0.35">
      <c r="G53" s="14"/>
      <c r="H53" s="14"/>
      <c r="I53" s="14"/>
      <c r="J53" s="14"/>
      <c r="K53" s="14"/>
    </row>
    <row r="54" spans="1:11" x14ac:dyDescent="0.35">
      <c r="B54" s="1" t="s">
        <v>80</v>
      </c>
      <c r="C54" s="4">
        <f>((G36^2)*18)/((1-G36^2)*1)</f>
        <v>447.69365848500797</v>
      </c>
    </row>
    <row r="55" spans="1:11" x14ac:dyDescent="0.35">
      <c r="B55" s="1" t="s">
        <v>81</v>
      </c>
      <c r="C55" s="4">
        <f>((G37^2)*18)/((1-G37^2)*1)</f>
        <v>785.18854253591087</v>
      </c>
    </row>
    <row r="56" spans="1:11" x14ac:dyDescent="0.35">
      <c r="B56" s="1" t="s">
        <v>82</v>
      </c>
      <c r="C56" s="4">
        <f>((G38^2)*18)/((1-G38^2)*1)</f>
        <v>123.02350452440508</v>
      </c>
      <c r="E56" s="1" t="s">
        <v>83</v>
      </c>
    </row>
    <row r="57" spans="1:11" x14ac:dyDescent="0.35">
      <c r="B57" s="1" t="s">
        <v>84</v>
      </c>
      <c r="C57" s="4">
        <f>((H37^2)*18)/((1-H37^2)*1)</f>
        <v>350.3359803081359</v>
      </c>
      <c r="E57" s="1" t="s">
        <v>85</v>
      </c>
    </row>
    <row r="58" spans="1:11" x14ac:dyDescent="0.35">
      <c r="B58" s="1" t="s">
        <v>86</v>
      </c>
      <c r="C58" s="4">
        <f>((H38^2)*18)/((1-H38^2)*1)</f>
        <v>60.339375329161761</v>
      </c>
    </row>
    <row r="59" spans="1:11" x14ac:dyDescent="0.35">
      <c r="B59" s="1" t="s">
        <v>87</v>
      </c>
      <c r="C59" s="4">
        <f>((I38^2)*18)/((1-I38^2)*1)</f>
        <v>75.455730436240316</v>
      </c>
    </row>
    <row r="61" spans="1:11" x14ac:dyDescent="0.35">
      <c r="A61" s="1" t="s">
        <v>88</v>
      </c>
    </row>
    <row r="63" spans="1:11" x14ac:dyDescent="0.35">
      <c r="B63" s="1" t="s">
        <v>89</v>
      </c>
    </row>
    <row r="64" spans="1:11" x14ac:dyDescent="0.35">
      <c r="B64" s="1" t="s">
        <v>90</v>
      </c>
      <c r="C64" s="4">
        <f>G36^2</f>
        <v>0.96134798129191301</v>
      </c>
      <c r="E64" s="1" t="s">
        <v>91</v>
      </c>
    </row>
    <row r="65" spans="1:7" x14ac:dyDescent="0.35">
      <c r="B65" s="1" t="s">
        <v>92</v>
      </c>
      <c r="C65" s="4">
        <f>G37^2</f>
        <v>0.97758932175106916</v>
      </c>
      <c r="E65" s="1" t="s">
        <v>93</v>
      </c>
    </row>
    <row r="66" spans="1:7" x14ac:dyDescent="0.35">
      <c r="B66" s="1" t="s">
        <v>94</v>
      </c>
      <c r="C66" s="4">
        <f>G38^2</f>
        <v>0.87236170267712376</v>
      </c>
      <c r="E66" s="1" t="s">
        <v>95</v>
      </c>
    </row>
    <row r="67" spans="1:7" x14ac:dyDescent="0.35">
      <c r="B67" s="1" t="s">
        <v>96</v>
      </c>
      <c r="C67" s="4">
        <f>H37^2</f>
        <v>0.95113157290541672</v>
      </c>
      <c r="E67" s="1" t="s">
        <v>97</v>
      </c>
    </row>
    <row r="68" spans="1:7" x14ac:dyDescent="0.35">
      <c r="B68" s="1" t="s">
        <v>98</v>
      </c>
      <c r="C68" s="4">
        <f>H38^2</f>
        <v>0.77023048850761622</v>
      </c>
      <c r="E68" s="1" t="s">
        <v>99</v>
      </c>
    </row>
    <row r="69" spans="1:7" x14ac:dyDescent="0.35">
      <c r="B69" s="1" t="s">
        <v>100</v>
      </c>
      <c r="C69" s="4">
        <f>I38^2</f>
        <v>0.80739543828957172</v>
      </c>
      <c r="E69" s="1" t="s">
        <v>101</v>
      </c>
    </row>
    <row r="71" spans="1:7" x14ac:dyDescent="0.35">
      <c r="A71" s="1" t="s">
        <v>102</v>
      </c>
    </row>
    <row r="72" spans="1:7" x14ac:dyDescent="0.35">
      <c r="B72" s="1" t="s">
        <v>83</v>
      </c>
    </row>
    <row r="73" spans="1:7" x14ac:dyDescent="0.35">
      <c r="B73" s="1" t="s">
        <v>85</v>
      </c>
    </row>
    <row r="75" spans="1:7" x14ac:dyDescent="0.35">
      <c r="B75" s="1" t="s">
        <v>103</v>
      </c>
    </row>
    <row r="76" spans="1:7" x14ac:dyDescent="0.35">
      <c r="B76" s="1" t="s">
        <v>104</v>
      </c>
      <c r="F76" s="1" t="s">
        <v>90</v>
      </c>
      <c r="G76" s="4">
        <v>0.96</v>
      </c>
    </row>
    <row r="77" spans="1:7" x14ac:dyDescent="0.35">
      <c r="B77" s="1" t="s">
        <v>105</v>
      </c>
      <c r="F77" s="1" t="s">
        <v>92</v>
      </c>
      <c r="G77" s="4">
        <v>0.98</v>
      </c>
    </row>
    <row r="78" spans="1:7" x14ac:dyDescent="0.35">
      <c r="B78" s="1" t="s">
        <v>106</v>
      </c>
      <c r="F78" s="1" t="s">
        <v>94</v>
      </c>
      <c r="G78" s="4">
        <v>0.87</v>
      </c>
    </row>
    <row r="79" spans="1:7" x14ac:dyDescent="0.35">
      <c r="G79" s="4"/>
    </row>
    <row r="80" spans="1:7" x14ac:dyDescent="0.35">
      <c r="A80" s="1" t="s">
        <v>107</v>
      </c>
    </row>
    <row r="81" spans="2:11" x14ac:dyDescent="0.35">
      <c r="C81" s="1" t="s">
        <v>108</v>
      </c>
    </row>
    <row r="83" spans="2:11" x14ac:dyDescent="0.35">
      <c r="B83" s="2" t="s">
        <v>69</v>
      </c>
      <c r="C83" s="2" t="s">
        <v>4</v>
      </c>
      <c r="D83" s="2" t="s">
        <v>5</v>
      </c>
      <c r="E83" s="2" t="s">
        <v>6</v>
      </c>
    </row>
    <row r="84" spans="2:11" x14ac:dyDescent="0.35">
      <c r="B84" s="3">
        <f>A12/$H$85</f>
        <v>0.48513349514563109</v>
      </c>
      <c r="C84" s="3">
        <f>B12/$I$85</f>
        <v>0.68240930869267624</v>
      </c>
      <c r="D84" s="3">
        <f>C12/$J$85</f>
        <v>0.48409893992932856</v>
      </c>
      <c r="E84" s="3">
        <f>D12/$K$85</f>
        <v>0.78102189781021891</v>
      </c>
      <c r="H84" s="7" t="s">
        <v>109</v>
      </c>
      <c r="I84" s="7" t="s">
        <v>110</v>
      </c>
      <c r="J84" s="7" t="s">
        <v>111</v>
      </c>
      <c r="K84" s="7" t="s">
        <v>112</v>
      </c>
    </row>
    <row r="85" spans="2:11" x14ac:dyDescent="0.35">
      <c r="B85" s="3">
        <f>A13/$H$85</f>
        <v>0.4952467637540453</v>
      </c>
      <c r="C85" s="3">
        <f>B13/$I$85</f>
        <v>0.69062286105407267</v>
      </c>
      <c r="D85" s="3">
        <f>C13/$J$85</f>
        <v>0.50176678445229683</v>
      </c>
      <c r="E85" s="3">
        <f>D13/$K$85</f>
        <v>0.79562043795620441</v>
      </c>
      <c r="H85" s="6">
        <f>MAX(A12:A31)</f>
        <v>988.8</v>
      </c>
      <c r="I85" s="6">
        <f>MAX(B12:B31)</f>
        <v>146.1</v>
      </c>
      <c r="J85" s="6">
        <f>MAX(C12:C31)</f>
        <v>28.3</v>
      </c>
      <c r="K85" s="6">
        <f>MAX(D12:D31)</f>
        <v>13.7</v>
      </c>
    </row>
    <row r="86" spans="2:11" x14ac:dyDescent="0.35">
      <c r="B86" s="3">
        <f>A14/$H$85</f>
        <v>0.50950647249190939</v>
      </c>
      <c r="C86" s="3">
        <f>B14/$I$85</f>
        <v>0.70157426420260094</v>
      </c>
      <c r="D86" s="3">
        <f>C14/$J$85</f>
        <v>0.5053003533568905</v>
      </c>
      <c r="E86" s="3">
        <f>D14/$K$85</f>
        <v>0.81751824817518248</v>
      </c>
    </row>
    <row r="87" spans="2:11" x14ac:dyDescent="0.35">
      <c r="B87" s="3">
        <f>A15/$H$85</f>
        <v>0.53084546925566345</v>
      </c>
      <c r="C87" s="3">
        <f>B15/$I$85</f>
        <v>0.70841889117043122</v>
      </c>
      <c r="D87" s="3">
        <f>C15/$J$85</f>
        <v>0.52650176678445226</v>
      </c>
      <c r="E87" s="3">
        <f>D15/$K$85</f>
        <v>0.81751824817518248</v>
      </c>
    </row>
    <row r="88" spans="2:11" x14ac:dyDescent="0.35">
      <c r="B88" s="3">
        <f>A16/$H$85</f>
        <v>0.54844255663430419</v>
      </c>
      <c r="C88" s="3">
        <f>B16/$I$85</f>
        <v>0.71594798083504452</v>
      </c>
      <c r="D88" s="3">
        <f>C16/$J$85</f>
        <v>0.54063604240282692</v>
      </c>
      <c r="E88" s="3">
        <f>D16/$K$85</f>
        <v>0.83211678832116798</v>
      </c>
    </row>
    <row r="89" spans="2:11" x14ac:dyDescent="0.35">
      <c r="B89" s="3">
        <f>A17/$H$85</f>
        <v>0.58737864077669899</v>
      </c>
      <c r="C89" s="3">
        <f>B17/$I$85</f>
        <v>0.74469541409993156</v>
      </c>
      <c r="D89" s="3">
        <f>C17/$J$85</f>
        <v>0.56537102473498235</v>
      </c>
      <c r="E89" s="3">
        <f>D17/$K$85</f>
        <v>0.82481751824817529</v>
      </c>
    </row>
    <row r="90" spans="2:11" x14ac:dyDescent="0.35">
      <c r="B90" s="3">
        <f>A18/$H$85</f>
        <v>0.62328074433656955</v>
      </c>
      <c r="C90" s="3">
        <f>B18/$I$85</f>
        <v>0.77823408624229984</v>
      </c>
      <c r="D90" s="3">
        <f>C18/$J$85</f>
        <v>0.59363957597173145</v>
      </c>
      <c r="E90" s="3">
        <f>D18/$K$85</f>
        <v>0.84671532846715325</v>
      </c>
    </row>
    <row r="91" spans="2:11" x14ac:dyDescent="0.35">
      <c r="B91" s="3">
        <f>A19/$H$85</f>
        <v>0.654126213592233</v>
      </c>
      <c r="C91" s="3">
        <f>B19/$I$85</f>
        <v>0.79808350444900755</v>
      </c>
      <c r="D91" s="3">
        <f>C19/$J$85</f>
        <v>0.62897526501766787</v>
      </c>
      <c r="E91" s="3">
        <f>D19/$K$85</f>
        <v>0.85401459854014594</v>
      </c>
    </row>
    <row r="92" spans="2:11" x14ac:dyDescent="0.35">
      <c r="B92" s="3">
        <f>A20/$H$85</f>
        <v>0.6811286407766991</v>
      </c>
      <c r="C92" s="3">
        <f>B20/$I$85</f>
        <v>0.811772758384668</v>
      </c>
      <c r="D92" s="3">
        <f>C20/$J$85</f>
        <v>0.65017667844522964</v>
      </c>
      <c r="E92" s="3">
        <f>D20/$K$85</f>
        <v>0.86131386861313874</v>
      </c>
    </row>
    <row r="93" spans="2:11" x14ac:dyDescent="0.35">
      <c r="B93" s="3">
        <f>A21/$H$85</f>
        <v>0.70924352750809061</v>
      </c>
      <c r="C93" s="3">
        <f>B21/$I$85</f>
        <v>0.84462696783025337</v>
      </c>
      <c r="D93" s="3">
        <f>C21/$J$85</f>
        <v>0.70318021201413416</v>
      </c>
      <c r="E93" s="3">
        <f>D21/$K$85</f>
        <v>0.85401459854014594</v>
      </c>
    </row>
    <row r="94" spans="2:11" x14ac:dyDescent="0.35">
      <c r="B94" s="3">
        <f>A22/$H$85</f>
        <v>0.73068365695792881</v>
      </c>
      <c r="C94" s="3">
        <f>B22/$I$85</f>
        <v>0.86173853524982891</v>
      </c>
      <c r="D94" s="3">
        <f>C22/$J$85</f>
        <v>0.7561837455830388</v>
      </c>
      <c r="E94" s="3">
        <f>D22/$K$85</f>
        <v>0.83211678832116798</v>
      </c>
    </row>
    <row r="95" spans="2:11" x14ac:dyDescent="0.35">
      <c r="B95" s="3">
        <f>A23/$H$85</f>
        <v>0.76011326860841433</v>
      </c>
      <c r="C95" s="3">
        <f>B23/$I$85</f>
        <v>0.88569472963723483</v>
      </c>
      <c r="D95" s="3">
        <f>C23/$J$85</f>
        <v>0.80918727915194344</v>
      </c>
      <c r="E95" s="3">
        <f>D23/$K$85</f>
        <v>0.85401459854014594</v>
      </c>
    </row>
    <row r="96" spans="2:11" x14ac:dyDescent="0.35">
      <c r="B96" s="3">
        <f>A24/$H$85</f>
        <v>0.78802588996763767</v>
      </c>
      <c r="C96" s="3">
        <f>B24/$I$85</f>
        <v>0.88980150581793294</v>
      </c>
      <c r="D96" s="3">
        <f>C24/$J$85</f>
        <v>0.85512367491166075</v>
      </c>
      <c r="E96" s="3">
        <f>D24/$K$85</f>
        <v>0.86131386861313874</v>
      </c>
    </row>
    <row r="97" spans="1:9" x14ac:dyDescent="0.35">
      <c r="B97" s="3">
        <f>A25/$H$85</f>
        <v>0.81947815533980584</v>
      </c>
      <c r="C97" s="3">
        <f>B25/$I$85</f>
        <v>0.90622861054072557</v>
      </c>
      <c r="D97" s="3">
        <f>C25/$J$85</f>
        <v>0.89752650176678439</v>
      </c>
      <c r="E97" s="3">
        <f>D25/$K$85</f>
        <v>0.89051094890510951</v>
      </c>
    </row>
    <row r="98" spans="1:9" x14ac:dyDescent="0.35">
      <c r="B98" s="3">
        <f>A26/$H$85</f>
        <v>0.87510113268608414</v>
      </c>
      <c r="C98" s="3">
        <f>B26/$I$85</f>
        <v>0.88569472963723483</v>
      </c>
      <c r="D98" s="3">
        <f>C26/$J$85</f>
        <v>0.92579505300353349</v>
      </c>
      <c r="E98" s="3">
        <f>D26/$K$85</f>
        <v>0.93430656934306577</v>
      </c>
    </row>
    <row r="99" spans="1:9" x14ac:dyDescent="0.35">
      <c r="B99" s="3">
        <f>A27/$H$85</f>
        <v>0.8681229773462783</v>
      </c>
      <c r="C99" s="3">
        <f>B27/$I$85</f>
        <v>0.87679671457905539</v>
      </c>
      <c r="D99" s="3">
        <f>C27/$J$85</f>
        <v>0.87632508833922262</v>
      </c>
      <c r="E99" s="3">
        <f>D27/$K$85</f>
        <v>0.94890510948905116</v>
      </c>
    </row>
    <row r="100" spans="1:9" x14ac:dyDescent="0.35">
      <c r="B100" s="3">
        <f>A28/$H$85</f>
        <v>0.88572006472491904</v>
      </c>
      <c r="C100" s="3">
        <f>B28/$I$85</f>
        <v>0.90554414784394266</v>
      </c>
      <c r="D100" s="3">
        <f>C28/$J$85</f>
        <v>0.90459363957597172</v>
      </c>
      <c r="E100" s="3">
        <f>D28/$K$85</f>
        <v>0.94160583941605847</v>
      </c>
    </row>
    <row r="101" spans="1:9" x14ac:dyDescent="0.35">
      <c r="B101" s="3">
        <f>A29/$H$85</f>
        <v>0.91707119741100318</v>
      </c>
      <c r="C101" s="3">
        <f>B29/$I$85</f>
        <v>0.95619438740588636</v>
      </c>
      <c r="D101" s="3">
        <f>C29/$J$85</f>
        <v>0.94699646643109536</v>
      </c>
      <c r="E101" s="3">
        <f>D29/$K$85</f>
        <v>1</v>
      </c>
    </row>
    <row r="102" spans="1:9" x14ac:dyDescent="0.35">
      <c r="B102" s="3">
        <f>A30/$H$85</f>
        <v>0.95358009708737868</v>
      </c>
      <c r="C102" s="3">
        <f>B30/$I$85</f>
        <v>0.99383983572895274</v>
      </c>
      <c r="D102" s="3">
        <f>C30/$J$85</f>
        <v>0.97879858657243812</v>
      </c>
      <c r="E102" s="3">
        <f>D30/$K$85</f>
        <v>0.95620437956204385</v>
      </c>
    </row>
    <row r="103" spans="1:9" x14ac:dyDescent="0.35">
      <c r="B103" s="3">
        <f>A31/$H$85</f>
        <v>1</v>
      </c>
      <c r="C103" s="3">
        <f>B31/$I$85</f>
        <v>1</v>
      </c>
      <c r="D103" s="3">
        <f>C31/$J$85</f>
        <v>1</v>
      </c>
      <c r="E103" s="3">
        <f>D31/$K$85</f>
        <v>0.98540145985401462</v>
      </c>
    </row>
    <row r="104" spans="1:9" x14ac:dyDescent="0.35">
      <c r="B104" s="4"/>
      <c r="C104" s="4"/>
      <c r="D104" s="4"/>
      <c r="E104" s="4"/>
    </row>
    <row r="106" spans="1:9" x14ac:dyDescent="0.35">
      <c r="A106" s="1" t="s">
        <v>113</v>
      </c>
    </row>
    <row r="107" spans="1:9" x14ac:dyDescent="0.35">
      <c r="B107" s="2" t="s">
        <v>114</v>
      </c>
      <c r="C107" s="2" t="s">
        <v>69</v>
      </c>
      <c r="D107" s="2" t="s">
        <v>4</v>
      </c>
      <c r="E107" s="2" t="s">
        <v>115</v>
      </c>
      <c r="G107" s="1" t="s">
        <v>116</v>
      </c>
      <c r="I107" s="18" t="s">
        <v>117</v>
      </c>
    </row>
    <row r="108" spans="1:9" x14ac:dyDescent="0.35">
      <c r="B108" s="3">
        <f>C108*D108</f>
        <v>0.3332</v>
      </c>
      <c r="C108" s="3">
        <v>0.49</v>
      </c>
      <c r="D108" s="3">
        <v>0.68</v>
      </c>
      <c r="E108" s="3">
        <f>D108^2</f>
        <v>0.46240000000000009</v>
      </c>
      <c r="I108" s="1" t="s">
        <v>118</v>
      </c>
    </row>
    <row r="109" spans="1:9" x14ac:dyDescent="0.35">
      <c r="B109" s="3">
        <f t="shared" ref="B109:B127" si="0">C109*D109</f>
        <v>0.34499999999999997</v>
      </c>
      <c r="C109" s="3">
        <v>0.5</v>
      </c>
      <c r="D109" s="3">
        <v>0.69</v>
      </c>
      <c r="E109" s="3">
        <f t="shared" ref="E109:E127" si="1">D109^2</f>
        <v>0.47609999999999991</v>
      </c>
      <c r="G109" s="18" t="s">
        <v>119</v>
      </c>
      <c r="I109" s="1" t="s">
        <v>120</v>
      </c>
    </row>
    <row r="110" spans="1:9" x14ac:dyDescent="0.35">
      <c r="B110" s="3">
        <f t="shared" si="0"/>
        <v>0.35699999999999998</v>
      </c>
      <c r="C110" s="3">
        <v>0.51</v>
      </c>
      <c r="D110" s="3">
        <v>0.7</v>
      </c>
      <c r="E110" s="3">
        <f t="shared" si="1"/>
        <v>0.48999999999999994</v>
      </c>
      <c r="G110" s="1" t="s">
        <v>121</v>
      </c>
    </row>
    <row r="111" spans="1:9" x14ac:dyDescent="0.35">
      <c r="B111" s="3">
        <f t="shared" si="0"/>
        <v>0.37630000000000002</v>
      </c>
      <c r="C111" s="3">
        <v>0.53</v>
      </c>
      <c r="D111" s="3">
        <v>0.71</v>
      </c>
      <c r="E111" s="3">
        <f t="shared" si="1"/>
        <v>0.50409999999999999</v>
      </c>
    </row>
    <row r="112" spans="1:9" x14ac:dyDescent="0.35">
      <c r="B112" s="3">
        <f t="shared" si="0"/>
        <v>0.39600000000000002</v>
      </c>
      <c r="C112" s="3">
        <v>0.55000000000000004</v>
      </c>
      <c r="D112" s="3">
        <v>0.72</v>
      </c>
      <c r="E112" s="3">
        <f t="shared" si="1"/>
        <v>0.51839999999999997</v>
      </c>
    </row>
    <row r="113" spans="1:5" x14ac:dyDescent="0.35">
      <c r="B113" s="3">
        <f t="shared" si="0"/>
        <v>0.43659999999999999</v>
      </c>
      <c r="C113" s="3">
        <v>0.59</v>
      </c>
      <c r="D113" s="3">
        <v>0.74</v>
      </c>
      <c r="E113" s="3">
        <f t="shared" si="1"/>
        <v>0.54759999999999998</v>
      </c>
    </row>
    <row r="114" spans="1:5" x14ac:dyDescent="0.35">
      <c r="B114" s="3">
        <f t="shared" si="0"/>
        <v>0.48360000000000003</v>
      </c>
      <c r="C114" s="3">
        <v>0.62</v>
      </c>
      <c r="D114" s="3">
        <v>0.78</v>
      </c>
      <c r="E114" s="3">
        <f t="shared" si="1"/>
        <v>0.60840000000000005</v>
      </c>
    </row>
    <row r="115" spans="1:5" x14ac:dyDescent="0.35">
      <c r="B115" s="3">
        <f t="shared" si="0"/>
        <v>0.52</v>
      </c>
      <c r="C115" s="3">
        <v>0.65</v>
      </c>
      <c r="D115" s="3">
        <v>0.8</v>
      </c>
      <c r="E115" s="3">
        <f t="shared" si="1"/>
        <v>0.64000000000000012</v>
      </c>
    </row>
    <row r="116" spans="1:5" x14ac:dyDescent="0.35">
      <c r="B116" s="3">
        <f t="shared" si="0"/>
        <v>0.55080000000000007</v>
      </c>
      <c r="C116" s="3">
        <v>0.68</v>
      </c>
      <c r="D116" s="3">
        <v>0.81</v>
      </c>
      <c r="E116" s="3">
        <f t="shared" si="1"/>
        <v>0.65610000000000013</v>
      </c>
    </row>
    <row r="117" spans="1:5" x14ac:dyDescent="0.35">
      <c r="B117" s="3">
        <f t="shared" si="0"/>
        <v>0.59639999999999993</v>
      </c>
      <c r="C117" s="3">
        <v>0.71</v>
      </c>
      <c r="D117" s="3">
        <v>0.84</v>
      </c>
      <c r="E117" s="3">
        <f t="shared" si="1"/>
        <v>0.70559999999999989</v>
      </c>
    </row>
    <row r="118" spans="1:5" x14ac:dyDescent="0.35">
      <c r="B118" s="3">
        <f t="shared" si="0"/>
        <v>0.62780000000000002</v>
      </c>
      <c r="C118" s="3">
        <v>0.73</v>
      </c>
      <c r="D118" s="3">
        <v>0.86</v>
      </c>
      <c r="E118" s="3">
        <f t="shared" si="1"/>
        <v>0.73959999999999992</v>
      </c>
    </row>
    <row r="119" spans="1:5" x14ac:dyDescent="0.35">
      <c r="B119" s="3">
        <f t="shared" si="0"/>
        <v>0.6764</v>
      </c>
      <c r="C119" s="3">
        <v>0.76</v>
      </c>
      <c r="D119" s="3">
        <v>0.89</v>
      </c>
      <c r="E119" s="3">
        <f t="shared" si="1"/>
        <v>0.79210000000000003</v>
      </c>
    </row>
    <row r="120" spans="1:5" x14ac:dyDescent="0.35">
      <c r="B120" s="3">
        <f t="shared" si="0"/>
        <v>0.70310000000000006</v>
      </c>
      <c r="C120" s="3">
        <v>0.79</v>
      </c>
      <c r="D120" s="3">
        <v>0.89</v>
      </c>
      <c r="E120" s="3">
        <f t="shared" si="1"/>
        <v>0.79210000000000003</v>
      </c>
    </row>
    <row r="121" spans="1:5" x14ac:dyDescent="0.35">
      <c r="B121" s="3">
        <f t="shared" si="0"/>
        <v>0.74619999999999997</v>
      </c>
      <c r="C121" s="3">
        <v>0.82</v>
      </c>
      <c r="D121" s="3">
        <v>0.91</v>
      </c>
      <c r="E121" s="3">
        <f t="shared" si="1"/>
        <v>0.82810000000000006</v>
      </c>
    </row>
    <row r="122" spans="1:5" x14ac:dyDescent="0.35">
      <c r="B122" s="3">
        <f t="shared" si="0"/>
        <v>0.78320000000000001</v>
      </c>
      <c r="C122" s="3">
        <v>0.88</v>
      </c>
      <c r="D122" s="3">
        <v>0.89</v>
      </c>
      <c r="E122" s="3">
        <f t="shared" si="1"/>
        <v>0.79210000000000003</v>
      </c>
    </row>
    <row r="123" spans="1:5" x14ac:dyDescent="0.35">
      <c r="B123" s="3">
        <f t="shared" si="0"/>
        <v>0.76559999999999995</v>
      </c>
      <c r="C123" s="3">
        <v>0.87</v>
      </c>
      <c r="D123" s="3">
        <v>0.88</v>
      </c>
      <c r="E123" s="3">
        <f t="shared" si="1"/>
        <v>0.77439999999999998</v>
      </c>
    </row>
    <row r="124" spans="1:5" x14ac:dyDescent="0.35">
      <c r="B124" s="3">
        <f t="shared" si="0"/>
        <v>0.80990000000000006</v>
      </c>
      <c r="C124" s="3">
        <v>0.89</v>
      </c>
      <c r="D124" s="3">
        <v>0.91</v>
      </c>
      <c r="E124" s="3">
        <f t="shared" si="1"/>
        <v>0.82810000000000006</v>
      </c>
    </row>
    <row r="125" spans="1:5" x14ac:dyDescent="0.35">
      <c r="B125" s="3">
        <f t="shared" si="0"/>
        <v>0.88319999999999999</v>
      </c>
      <c r="C125" s="3">
        <v>0.92</v>
      </c>
      <c r="D125" s="3">
        <v>0.96</v>
      </c>
      <c r="E125" s="3">
        <f t="shared" si="1"/>
        <v>0.92159999999999997</v>
      </c>
    </row>
    <row r="126" spans="1:5" x14ac:dyDescent="0.35">
      <c r="B126" s="3">
        <f t="shared" si="0"/>
        <v>0.9405</v>
      </c>
      <c r="C126" s="3">
        <v>0.95</v>
      </c>
      <c r="D126" s="3">
        <v>0.99</v>
      </c>
      <c r="E126" s="3">
        <f t="shared" si="1"/>
        <v>0.98009999999999997</v>
      </c>
    </row>
    <row r="127" spans="1:5" x14ac:dyDescent="0.35">
      <c r="B127" s="3">
        <f t="shared" si="0"/>
        <v>1</v>
      </c>
      <c r="C127" s="3">
        <v>1</v>
      </c>
      <c r="D127" s="3">
        <v>1</v>
      </c>
      <c r="E127" s="3">
        <f t="shared" si="1"/>
        <v>1</v>
      </c>
    </row>
    <row r="128" spans="1:5" x14ac:dyDescent="0.35">
      <c r="A128" s="1" t="s">
        <v>7</v>
      </c>
      <c r="B128" s="3">
        <f>AVERAGE(B108:B127)</f>
        <v>0.61653999999999998</v>
      </c>
      <c r="C128" s="3">
        <f>AVERAGE(C108:C127)</f>
        <v>0.72199999999999998</v>
      </c>
      <c r="D128" s="3">
        <f>AVERAGE(D108:D127)</f>
        <v>0.83250000000000024</v>
      </c>
      <c r="E128" s="3">
        <f>AVERAGE(E108:E127)</f>
        <v>0.70284500000000005</v>
      </c>
    </row>
    <row r="130" spans="1:10" x14ac:dyDescent="0.35">
      <c r="C130" s="7" t="s">
        <v>122</v>
      </c>
      <c r="D130" s="6">
        <f>D128^2</f>
        <v>0.69305625000000037</v>
      </c>
    </row>
    <row r="132" spans="1:10" x14ac:dyDescent="0.35">
      <c r="C132" s="7" t="s">
        <v>123</v>
      </c>
      <c r="D132" s="6">
        <f>(B128-C128*D128)/(E128-D130)</f>
        <v>1.5808964372366545</v>
      </c>
    </row>
    <row r="133" spans="1:10" x14ac:dyDescent="0.35">
      <c r="C133" s="7" t="s">
        <v>124</v>
      </c>
      <c r="D133" s="6">
        <f>C128-D132*D128</f>
        <v>-0.5940962839995152</v>
      </c>
    </row>
    <row r="135" spans="1:10" x14ac:dyDescent="0.35">
      <c r="B135" s="1" t="s">
        <v>125</v>
      </c>
    </row>
    <row r="139" spans="1:10" x14ac:dyDescent="0.35">
      <c r="A139" s="1" t="s">
        <v>126</v>
      </c>
    </row>
    <row r="140" spans="1:10" x14ac:dyDescent="0.35">
      <c r="B140" s="1" t="s">
        <v>127</v>
      </c>
      <c r="H140" s="2" t="s">
        <v>128</v>
      </c>
      <c r="I140" s="2" t="s">
        <v>129</v>
      </c>
      <c r="J140" s="2" t="s">
        <v>130</v>
      </c>
    </row>
    <row r="141" spans="1:10" x14ac:dyDescent="0.35">
      <c r="C141" s="1" t="s">
        <v>72</v>
      </c>
      <c r="H141" s="3">
        <f t="shared" ref="H141:H160" si="2">$D$132*D108+$D$133</f>
        <v>0.48091329332140997</v>
      </c>
      <c r="I141" s="19">
        <f>(H141-$C$128)^2</f>
        <v>5.8122800137128491E-2</v>
      </c>
      <c r="J141" s="20">
        <f t="shared" ref="J141:J160" si="3">(H141-C108)^2</f>
        <v>8.2568238262732433E-5</v>
      </c>
    </row>
    <row r="142" spans="1:10" x14ac:dyDescent="0.35">
      <c r="C142" s="1" t="s">
        <v>73</v>
      </c>
      <c r="H142" s="3">
        <f t="shared" si="2"/>
        <v>0.49672225769377643</v>
      </c>
      <c r="I142" s="19">
        <f t="shared" ref="I142:I160" si="4">(H142-$C$128)^2</f>
        <v>5.0750061178589261E-2</v>
      </c>
      <c r="J142" s="20">
        <f t="shared" si="3"/>
        <v>1.0743594626007836E-5</v>
      </c>
    </row>
    <row r="143" spans="1:10" x14ac:dyDescent="0.35">
      <c r="H143" s="3">
        <f t="shared" si="2"/>
        <v>0.51253122206614288</v>
      </c>
      <c r="I143" s="19">
        <f t="shared" si="4"/>
        <v>4.3877168929103538E-2</v>
      </c>
      <c r="J143" s="20">
        <f t="shared" si="3"/>
        <v>6.4070851481285728E-6</v>
      </c>
    </row>
    <row r="144" spans="1:10" x14ac:dyDescent="0.35">
      <c r="H144" s="3">
        <f t="shared" si="2"/>
        <v>0.52834018643850955</v>
      </c>
      <c r="I144" s="19">
        <f t="shared" si="4"/>
        <v>3.7504123388671227E-2</v>
      </c>
      <c r="J144" s="20">
        <f t="shared" si="3"/>
        <v>2.7549810589076953E-6</v>
      </c>
    </row>
    <row r="145" spans="3:10" x14ac:dyDescent="0.35">
      <c r="H145" s="3">
        <f t="shared" si="2"/>
        <v>0.544149150810876</v>
      </c>
      <c r="I145" s="19">
        <f t="shared" si="4"/>
        <v>3.1630924557292522E-2</v>
      </c>
      <c r="J145" s="20">
        <f t="shared" si="3"/>
        <v>3.4232436233873447E-5</v>
      </c>
    </row>
    <row r="146" spans="3:10" x14ac:dyDescent="0.35">
      <c r="H146" s="3">
        <f t="shared" si="2"/>
        <v>0.57576707955560913</v>
      </c>
      <c r="I146" s="19">
        <f t="shared" si="4"/>
        <v>2.1384067021695541E-2</v>
      </c>
      <c r="J146" s="20">
        <f t="shared" si="3"/>
        <v>2.0257602437635873E-4</v>
      </c>
    </row>
    <row r="147" spans="3:10" x14ac:dyDescent="0.35">
      <c r="C147" s="1" t="s">
        <v>74</v>
      </c>
      <c r="H147" s="3">
        <f t="shared" si="2"/>
        <v>0.63900293704507538</v>
      </c>
      <c r="I147" s="19">
        <f t="shared" si="4"/>
        <v>6.8885124591437164E-3</v>
      </c>
      <c r="J147" s="20">
        <f t="shared" si="3"/>
        <v>3.6111161633909842E-4</v>
      </c>
    </row>
    <row r="148" spans="3:10" x14ac:dyDescent="0.35">
      <c r="C148" s="1" t="s">
        <v>131</v>
      </c>
      <c r="H148" s="3">
        <f t="shared" si="2"/>
        <v>0.67062086578980851</v>
      </c>
      <c r="I148" s="19">
        <f t="shared" si="4"/>
        <v>2.6398154321888674E-3</v>
      </c>
      <c r="J148" s="20">
        <f t="shared" si="3"/>
        <v>4.252201059212939E-4</v>
      </c>
    </row>
    <row r="149" spans="3:10" x14ac:dyDescent="0.35">
      <c r="C149" s="1" t="s">
        <v>132</v>
      </c>
      <c r="H149" s="3">
        <f t="shared" si="2"/>
        <v>0.68642983016217496</v>
      </c>
      <c r="I149" s="19">
        <f t="shared" si="4"/>
        <v>1.2652369822917166E-3</v>
      </c>
      <c r="J149" s="20">
        <f t="shared" si="3"/>
        <v>4.1342715914414229E-5</v>
      </c>
    </row>
    <row r="150" spans="3:10" x14ac:dyDescent="0.35">
      <c r="H150" s="3">
        <f t="shared" si="2"/>
        <v>0.73385672327927454</v>
      </c>
      <c r="I150" s="19">
        <f t="shared" si="4"/>
        <v>1.4058188692129132E-4</v>
      </c>
      <c r="J150" s="20">
        <f t="shared" si="3"/>
        <v>5.691432456238813E-4</v>
      </c>
    </row>
    <row r="151" spans="3:10" x14ac:dyDescent="0.35">
      <c r="C151" s="7" t="s">
        <v>133</v>
      </c>
      <c r="D151" s="7">
        <f>(I161/J161)*18</f>
        <v>453.21755710745708</v>
      </c>
      <c r="H151" s="3">
        <f t="shared" si="2"/>
        <v>0.76547465202400766</v>
      </c>
      <c r="I151" s="19">
        <f t="shared" si="4"/>
        <v>1.8900453686085557E-3</v>
      </c>
      <c r="J151" s="20">
        <f t="shared" si="3"/>
        <v>1.2584509362244321E-3</v>
      </c>
    </row>
    <row r="152" spans="3:10" x14ac:dyDescent="0.35">
      <c r="C152" s="7" t="s">
        <v>79</v>
      </c>
      <c r="D152" s="7">
        <v>4.41</v>
      </c>
      <c r="H152" s="3">
        <f t="shared" si="2"/>
        <v>0.81290154514110724</v>
      </c>
      <c r="I152" s="19">
        <f t="shared" si="4"/>
        <v>8.2630909090407618E-3</v>
      </c>
      <c r="J152" s="20">
        <f t="shared" si="3"/>
        <v>2.7985734783166063E-3</v>
      </c>
    </row>
    <row r="153" spans="3:10" x14ac:dyDescent="0.35">
      <c r="H153" s="3">
        <f t="shared" si="2"/>
        <v>0.81290154514110724</v>
      </c>
      <c r="I153" s="19">
        <f t="shared" si="4"/>
        <v>8.2630909090407618E-3</v>
      </c>
      <c r="J153" s="20">
        <f t="shared" si="3"/>
        <v>5.2448076985017104E-4</v>
      </c>
    </row>
    <row r="154" spans="3:10" x14ac:dyDescent="0.35">
      <c r="H154" s="3">
        <f t="shared" si="2"/>
        <v>0.84451947388584037</v>
      </c>
      <c r="I154" s="19">
        <f t="shared" si="4"/>
        <v>1.5011021481263126E-2</v>
      </c>
      <c r="J154" s="20">
        <f t="shared" si="3"/>
        <v>6.0120459963841004E-4</v>
      </c>
    </row>
    <row r="155" spans="3:10" x14ac:dyDescent="0.35">
      <c r="C155" s="1" t="s">
        <v>134</v>
      </c>
      <c r="H155" s="3">
        <f t="shared" si="2"/>
        <v>0.81290154514110724</v>
      </c>
      <c r="I155" s="19">
        <f t="shared" si="4"/>
        <v>8.2630909090407618E-3</v>
      </c>
      <c r="J155" s="20">
        <f t="shared" si="3"/>
        <v>4.5022026444508697E-3</v>
      </c>
    </row>
    <row r="156" spans="3:10" x14ac:dyDescent="0.35">
      <c r="H156" s="3">
        <f t="shared" si="2"/>
        <v>0.79709258076874079</v>
      </c>
      <c r="I156" s="19">
        <f t="shared" si="4"/>
        <v>5.6388956865098625E-3</v>
      </c>
      <c r="J156" s="20">
        <f t="shared" si="3"/>
        <v>5.3154917789625849E-3</v>
      </c>
    </row>
    <row r="157" spans="3:10" x14ac:dyDescent="0.35">
      <c r="H157" s="3">
        <f t="shared" si="2"/>
        <v>0.84451947388584037</v>
      </c>
      <c r="I157" s="19">
        <f t="shared" si="4"/>
        <v>1.5011021481263126E-2</v>
      </c>
      <c r="J157" s="20">
        <f t="shared" si="3"/>
        <v>2.0684782556207575E-3</v>
      </c>
    </row>
    <row r="158" spans="3:10" x14ac:dyDescent="0.35">
      <c r="H158" s="3">
        <f t="shared" si="2"/>
        <v>0.92356429574767307</v>
      </c>
      <c r="I158" s="19">
        <f t="shared" si="4"/>
        <v>4.0628165320255427E-2</v>
      </c>
      <c r="J158" s="20">
        <f t="shared" si="3"/>
        <v>1.2704204176880041E-5</v>
      </c>
    </row>
    <row r="159" spans="3:10" x14ac:dyDescent="0.35">
      <c r="H159" s="3">
        <f t="shared" si="2"/>
        <v>0.97099118886477287</v>
      </c>
      <c r="I159" s="19">
        <f t="shared" si="4"/>
        <v>6.1996612132293002E-2</v>
      </c>
      <c r="J159" s="20">
        <f t="shared" si="3"/>
        <v>4.4063000995656635E-4</v>
      </c>
    </row>
    <row r="160" spans="3:10" x14ac:dyDescent="0.35">
      <c r="H160" s="3">
        <f t="shared" si="2"/>
        <v>0.98680015323713932</v>
      </c>
      <c r="I160" s="19">
        <f t="shared" si="4"/>
        <v>7.0119121154412475E-2</v>
      </c>
      <c r="J160" s="20">
        <f t="shared" si="3"/>
        <v>1.7423595456300353E-4</v>
      </c>
    </row>
    <row r="161" spans="2:10" x14ac:dyDescent="0.35">
      <c r="G161" s="1" t="s">
        <v>22</v>
      </c>
      <c r="I161" s="4">
        <f>SUM(I141:I160)</f>
        <v>0.48928744732475404</v>
      </c>
      <c r="J161" s="21">
        <f>SUM(J141:J160)</f>
        <v>1.9432552675264978E-2</v>
      </c>
    </row>
    <row r="165" spans="2:10" x14ac:dyDescent="0.35">
      <c r="B165" s="1" t="s">
        <v>135</v>
      </c>
    </row>
    <row r="169" spans="2:10" x14ac:dyDescent="0.35">
      <c r="C169" s="7" t="s">
        <v>136</v>
      </c>
      <c r="D169" s="7">
        <f>SQRT(J161/18)</f>
        <v>3.2857057989676183E-2</v>
      </c>
      <c r="F169" s="1" t="s">
        <v>137</v>
      </c>
    </row>
    <row r="172" spans="2:10" x14ac:dyDescent="0.35">
      <c r="B172" s="1" t="s">
        <v>138</v>
      </c>
    </row>
    <row r="173" spans="2:10" x14ac:dyDescent="0.35">
      <c r="I173" s="7" t="s">
        <v>139</v>
      </c>
      <c r="J173" s="22">
        <f>VAR(C108:C127)</f>
        <v>2.6774736842105278E-2</v>
      </c>
    </row>
    <row r="176" spans="2:10" x14ac:dyDescent="0.35">
      <c r="C176" s="7" t="s">
        <v>140</v>
      </c>
      <c r="D176" s="6">
        <f>1-(D169^2/J173)</f>
        <v>0.95967892173493885</v>
      </c>
      <c r="F176" s="1" t="s">
        <v>141</v>
      </c>
    </row>
    <row r="178" spans="1:8" x14ac:dyDescent="0.35">
      <c r="A178" s="1" t="s">
        <v>142</v>
      </c>
    </row>
    <row r="179" spans="1:8" x14ac:dyDescent="0.35">
      <c r="D179" s="1" t="s">
        <v>143</v>
      </c>
    </row>
    <row r="181" spans="1:8" x14ac:dyDescent="0.35">
      <c r="G181" s="1" t="s">
        <v>144</v>
      </c>
    </row>
    <row r="182" spans="1:8" x14ac:dyDescent="0.35">
      <c r="G182" s="2" t="s">
        <v>145</v>
      </c>
      <c r="H182" s="7">
        <f>D132*D128+D133</f>
        <v>0.72199999999999998</v>
      </c>
    </row>
    <row r="183" spans="1:8" x14ac:dyDescent="0.35">
      <c r="G183" s="1" t="s">
        <v>146</v>
      </c>
    </row>
    <row r="184" spans="1:8" x14ac:dyDescent="0.35">
      <c r="G184" s="1" t="s">
        <v>147</v>
      </c>
    </row>
    <row r="185" spans="1:8" x14ac:dyDescent="0.35">
      <c r="G185" s="6">
        <f>H182*H85</f>
        <v>713.91359999999997</v>
      </c>
    </row>
    <row r="186" spans="1:8" x14ac:dyDescent="0.35">
      <c r="A186" s="1" t="s">
        <v>148</v>
      </c>
    </row>
    <row r="188" spans="1:8" x14ac:dyDescent="0.35">
      <c r="G188" s="1" t="s">
        <v>149</v>
      </c>
    </row>
    <row r="189" spans="1:8" x14ac:dyDescent="0.35">
      <c r="D189" s="1" t="s">
        <v>150</v>
      </c>
      <c r="E189" s="1">
        <f>STDEV(D108:D127)</f>
        <v>0.10150836107641849</v>
      </c>
      <c r="G189" s="2" t="s">
        <v>151</v>
      </c>
      <c r="H189" s="7">
        <f>D132*(D128-E189)+D133</f>
        <v>0.56152579362455812</v>
      </c>
    </row>
    <row r="190" spans="1:8" x14ac:dyDescent="0.35">
      <c r="G190" s="1" t="s">
        <v>146</v>
      </c>
    </row>
    <row r="191" spans="1:8" x14ac:dyDescent="0.35">
      <c r="G191" s="1" t="s">
        <v>152</v>
      </c>
    </row>
    <row r="192" spans="1:8" x14ac:dyDescent="0.35">
      <c r="G192" s="6">
        <f>H189*H85</f>
        <v>555.23670473596303</v>
      </c>
    </row>
    <row r="193" spans="1:8" x14ac:dyDescent="0.35">
      <c r="A193" s="23" t="s">
        <v>153</v>
      </c>
    </row>
    <row r="195" spans="1:8" x14ac:dyDescent="0.35">
      <c r="G195" s="1" t="s">
        <v>154</v>
      </c>
    </row>
    <row r="196" spans="1:8" x14ac:dyDescent="0.35">
      <c r="G196" s="2" t="s">
        <v>155</v>
      </c>
      <c r="H196" s="7">
        <f>D132*(D128+E189)+D133</f>
        <v>0.88247420637544183</v>
      </c>
    </row>
    <row r="197" spans="1:8" x14ac:dyDescent="0.35">
      <c r="G197" s="1" t="s">
        <v>146</v>
      </c>
    </row>
    <row r="198" spans="1:8" x14ac:dyDescent="0.35">
      <c r="G198" s="1" t="s">
        <v>156</v>
      </c>
    </row>
    <row r="199" spans="1:8" x14ac:dyDescent="0.35">
      <c r="G199" s="6">
        <f>H196*H85</f>
        <v>872.5904952640368</v>
      </c>
    </row>
    <row r="200" spans="1:8" x14ac:dyDescent="0.35">
      <c r="A200" s="23" t="s">
        <v>157</v>
      </c>
    </row>
    <row r="201" spans="1:8" x14ac:dyDescent="0.35">
      <c r="A201" s="23"/>
    </row>
    <row r="202" spans="1:8" x14ac:dyDescent="0.35">
      <c r="A202" s="23"/>
    </row>
    <row r="203" spans="1:8" x14ac:dyDescent="0.35">
      <c r="A203" s="23"/>
    </row>
    <row r="205" spans="1:8" x14ac:dyDescent="0.35">
      <c r="G205" s="1" t="s">
        <v>158</v>
      </c>
    </row>
    <row r="206" spans="1:8" x14ac:dyDescent="0.35">
      <c r="D206" s="1" t="s">
        <v>159</v>
      </c>
      <c r="E206" s="4">
        <f>MIN(D108:D127)</f>
        <v>0.68</v>
      </c>
      <c r="G206" s="7" t="s">
        <v>160</v>
      </c>
      <c r="H206" s="7">
        <f>D132*(E206-E189)+D133</f>
        <v>0.32043908694596812</v>
      </c>
    </row>
    <row r="207" spans="1:8" x14ac:dyDescent="0.35">
      <c r="G207" s="1" t="s">
        <v>146</v>
      </c>
    </row>
    <row r="208" spans="1:8" x14ac:dyDescent="0.35">
      <c r="G208" s="1" t="s">
        <v>161</v>
      </c>
    </row>
    <row r="209" spans="1:8" x14ac:dyDescent="0.35">
      <c r="G209" s="6">
        <f>H206*H85</f>
        <v>316.85016917217325</v>
      </c>
    </row>
    <row r="210" spans="1:8" x14ac:dyDescent="0.35">
      <c r="A210" s="24" t="s">
        <v>162</v>
      </c>
    </row>
    <row r="212" spans="1:8" x14ac:dyDescent="0.35">
      <c r="G212" s="1" t="s">
        <v>163</v>
      </c>
    </row>
    <row r="213" spans="1:8" x14ac:dyDescent="0.35">
      <c r="D213" s="1" t="s">
        <v>164</v>
      </c>
      <c r="E213" s="4">
        <f>MAX(D108:D127)</f>
        <v>1</v>
      </c>
      <c r="G213" s="7" t="s">
        <v>165</v>
      </c>
      <c r="H213" s="7">
        <f>D132*(E213+E189)+D133</f>
        <v>1.1472743596125812</v>
      </c>
    </row>
    <row r="214" spans="1:8" x14ac:dyDescent="0.35">
      <c r="G214" s="1" t="s">
        <v>146</v>
      </c>
    </row>
    <row r="215" spans="1:8" x14ac:dyDescent="0.35">
      <c r="G215" s="1" t="s">
        <v>166</v>
      </c>
    </row>
    <row r="216" spans="1:8" x14ac:dyDescent="0.35">
      <c r="G216" s="6">
        <f>H213*H85</f>
        <v>1134.4248867849203</v>
      </c>
    </row>
    <row r="217" spans="1:8" x14ac:dyDescent="0.35">
      <c r="A217" s="24" t="s">
        <v>167</v>
      </c>
    </row>
    <row r="219" spans="1:8" x14ac:dyDescent="0.35">
      <c r="G219" s="1" t="s">
        <v>168</v>
      </c>
    </row>
    <row r="222" spans="1:8" x14ac:dyDescent="0.35">
      <c r="G222" s="1" t="s">
        <v>132</v>
      </c>
    </row>
    <row r="224" spans="1:8" x14ac:dyDescent="0.35">
      <c r="G224" s="1" t="s">
        <v>169</v>
      </c>
      <c r="H224" s="25">
        <f>(1/19)*C261</f>
        <v>1.6842105263157891E-2</v>
      </c>
    </row>
    <row r="227" spans="2:8" x14ac:dyDescent="0.35">
      <c r="G227" s="1" t="s">
        <v>170</v>
      </c>
    </row>
    <row r="228" spans="2:8" x14ac:dyDescent="0.35">
      <c r="G228" s="1" t="s">
        <v>171</v>
      </c>
    </row>
    <row r="231" spans="2:8" x14ac:dyDescent="0.35">
      <c r="G231" s="7" t="s">
        <v>172</v>
      </c>
      <c r="H231" s="8">
        <f>B260+H224</f>
        <v>1.016842105263158</v>
      </c>
    </row>
    <row r="232" spans="2:8" x14ac:dyDescent="0.35">
      <c r="G232" s="7" t="s">
        <v>173</v>
      </c>
      <c r="H232" s="7">
        <f>B260+2*H224</f>
        <v>1.0336842105263158</v>
      </c>
    </row>
    <row r="234" spans="2:8" x14ac:dyDescent="0.35">
      <c r="G234" s="7" t="s">
        <v>174</v>
      </c>
      <c r="H234" s="7">
        <f>D132*H231+D133</f>
        <v>1.0134257774432305</v>
      </c>
    </row>
    <row r="235" spans="2:8" x14ac:dyDescent="0.35">
      <c r="G235" s="7" t="s">
        <v>175</v>
      </c>
      <c r="H235" s="7">
        <f>D132*H232+D133</f>
        <v>1.0400514016493214</v>
      </c>
    </row>
    <row r="238" spans="2:8" x14ac:dyDescent="0.35">
      <c r="G238" s="1" t="s">
        <v>146</v>
      </c>
    </row>
    <row r="239" spans="2:8" x14ac:dyDescent="0.35">
      <c r="G239" s="1" t="s">
        <v>176</v>
      </c>
    </row>
    <row r="240" spans="2:8" x14ac:dyDescent="0.35">
      <c r="B240" s="2" t="s">
        <v>4</v>
      </c>
      <c r="G240" s="1" t="s">
        <v>177</v>
      </c>
    </row>
    <row r="241" spans="2:7" x14ac:dyDescent="0.35">
      <c r="B241" s="3">
        <v>0.68</v>
      </c>
      <c r="C241" s="6">
        <f>B242-B241</f>
        <v>9.9999999999998979E-3</v>
      </c>
    </row>
    <row r="242" spans="2:7" x14ac:dyDescent="0.35">
      <c r="B242" s="3">
        <v>0.69</v>
      </c>
      <c r="C242" s="6">
        <f t="shared" ref="C242:C259" si="5">B243-B242</f>
        <v>1.0000000000000009E-2</v>
      </c>
      <c r="G242" s="6">
        <f>H234*H85</f>
        <v>1002.0754087358663</v>
      </c>
    </row>
    <row r="243" spans="2:7" x14ac:dyDescent="0.35">
      <c r="B243" s="3">
        <v>0.7</v>
      </c>
      <c r="C243" s="6">
        <f t="shared" si="5"/>
        <v>1.0000000000000009E-2</v>
      </c>
      <c r="G243" s="6">
        <f>H235*H85</f>
        <v>1028.4028259508489</v>
      </c>
    </row>
    <row r="244" spans="2:7" x14ac:dyDescent="0.35">
      <c r="B244" s="3">
        <v>0.71</v>
      </c>
      <c r="C244" s="6">
        <f t="shared" si="5"/>
        <v>1.0000000000000009E-2</v>
      </c>
    </row>
    <row r="245" spans="2:7" x14ac:dyDescent="0.35">
      <c r="B245" s="3">
        <v>0.72</v>
      </c>
      <c r="C245" s="6">
        <f t="shared" si="5"/>
        <v>2.0000000000000018E-2</v>
      </c>
    </row>
    <row r="246" spans="2:7" x14ac:dyDescent="0.35">
      <c r="B246" s="3">
        <v>0.74</v>
      </c>
      <c r="C246" s="6">
        <f t="shared" si="5"/>
        <v>4.0000000000000036E-2</v>
      </c>
    </row>
    <row r="247" spans="2:7" x14ac:dyDescent="0.35">
      <c r="B247" s="3">
        <v>0.78</v>
      </c>
      <c r="C247" s="6">
        <f t="shared" si="5"/>
        <v>2.0000000000000018E-2</v>
      </c>
    </row>
    <row r="248" spans="2:7" x14ac:dyDescent="0.35">
      <c r="B248" s="3">
        <v>0.8</v>
      </c>
      <c r="C248" s="6">
        <f t="shared" si="5"/>
        <v>1.0000000000000009E-2</v>
      </c>
    </row>
    <row r="249" spans="2:7" x14ac:dyDescent="0.35">
      <c r="B249" s="3">
        <v>0.81</v>
      </c>
      <c r="C249" s="6">
        <f t="shared" si="5"/>
        <v>2.9999999999999916E-2</v>
      </c>
    </row>
    <row r="250" spans="2:7" x14ac:dyDescent="0.35">
      <c r="B250" s="3">
        <v>0.84</v>
      </c>
      <c r="C250" s="6">
        <f t="shared" si="5"/>
        <v>2.0000000000000018E-2</v>
      </c>
    </row>
    <row r="251" spans="2:7" x14ac:dyDescent="0.35">
      <c r="B251" s="3">
        <v>0.86</v>
      </c>
      <c r="C251" s="6">
        <f t="shared" si="5"/>
        <v>3.0000000000000027E-2</v>
      </c>
    </row>
    <row r="252" spans="2:7" x14ac:dyDescent="0.35">
      <c r="B252" s="3">
        <v>0.89</v>
      </c>
      <c r="C252" s="6">
        <f t="shared" si="5"/>
        <v>0</v>
      </c>
    </row>
    <row r="253" spans="2:7" x14ac:dyDescent="0.35">
      <c r="B253" s="3">
        <v>0.89</v>
      </c>
      <c r="C253" s="6">
        <f t="shared" si="5"/>
        <v>2.0000000000000018E-2</v>
      </c>
    </row>
    <row r="254" spans="2:7" x14ac:dyDescent="0.35">
      <c r="B254" s="3">
        <v>0.91</v>
      </c>
      <c r="C254" s="6">
        <f t="shared" si="5"/>
        <v>-2.0000000000000018E-2</v>
      </c>
    </row>
    <row r="255" spans="2:7" x14ac:dyDescent="0.35">
      <c r="B255" s="3">
        <v>0.89</v>
      </c>
      <c r="C255" s="6">
        <f t="shared" si="5"/>
        <v>-1.0000000000000009E-2</v>
      </c>
    </row>
    <row r="256" spans="2:7" x14ac:dyDescent="0.35">
      <c r="B256" s="3">
        <v>0.88</v>
      </c>
      <c r="C256" s="6">
        <f t="shared" si="5"/>
        <v>3.0000000000000027E-2</v>
      </c>
    </row>
    <row r="257" spans="1:6" x14ac:dyDescent="0.35">
      <c r="B257" s="3">
        <v>0.91</v>
      </c>
      <c r="C257" s="6">
        <f t="shared" si="5"/>
        <v>4.9999999999999933E-2</v>
      </c>
    </row>
    <row r="258" spans="1:6" x14ac:dyDescent="0.35">
      <c r="B258" s="3">
        <v>0.96</v>
      </c>
      <c r="C258" s="6">
        <f t="shared" si="5"/>
        <v>3.0000000000000027E-2</v>
      </c>
    </row>
    <row r="259" spans="1:6" x14ac:dyDescent="0.35">
      <c r="B259" s="3">
        <v>0.99</v>
      </c>
      <c r="C259" s="6">
        <f t="shared" si="5"/>
        <v>1.0000000000000009E-2</v>
      </c>
    </row>
    <row r="260" spans="1:6" x14ac:dyDescent="0.35">
      <c r="B260" s="3">
        <v>1</v>
      </c>
      <c r="C260" s="7"/>
    </row>
    <row r="261" spans="1:6" x14ac:dyDescent="0.35">
      <c r="B261" s="1" t="s">
        <v>22</v>
      </c>
      <c r="C261" s="4">
        <f>SUM(C241:C259)</f>
        <v>0.31999999999999995</v>
      </c>
    </row>
    <row r="263" spans="1:6" x14ac:dyDescent="0.35">
      <c r="A263" s="1" t="s">
        <v>178</v>
      </c>
    </row>
    <row r="265" spans="1:6" x14ac:dyDescent="0.35">
      <c r="A265" s="1" t="s">
        <v>179</v>
      </c>
    </row>
    <row r="266" spans="1:6" x14ac:dyDescent="0.35">
      <c r="B266" s="1" t="s">
        <v>180</v>
      </c>
    </row>
    <row r="268" spans="1:6" x14ac:dyDescent="0.35">
      <c r="B268" s="18" t="s">
        <v>181</v>
      </c>
      <c r="E268" s="18" t="s">
        <v>117</v>
      </c>
      <c r="F268" s="1" t="s">
        <v>182</v>
      </c>
    </row>
    <row r="269" spans="1:6" x14ac:dyDescent="0.35">
      <c r="B269" s="1" t="s">
        <v>183</v>
      </c>
      <c r="F269" s="1" t="s">
        <v>184</v>
      </c>
    </row>
    <row r="272" spans="1:6" x14ac:dyDescent="0.35">
      <c r="B272" s="2" t="s">
        <v>185</v>
      </c>
      <c r="C272" s="2" t="s">
        <v>69</v>
      </c>
      <c r="D272" s="2" t="s">
        <v>5</v>
      </c>
      <c r="E272" s="2" t="s">
        <v>186</v>
      </c>
    </row>
    <row r="273" spans="2:5" x14ac:dyDescent="0.35">
      <c r="B273" s="3">
        <f>C273*D273</f>
        <v>0.23519999999999999</v>
      </c>
      <c r="C273" s="3">
        <v>0.49</v>
      </c>
      <c r="D273" s="3">
        <v>0.48</v>
      </c>
      <c r="E273" s="3">
        <f>D273^2</f>
        <v>0.23039999999999999</v>
      </c>
    </row>
    <row r="274" spans="2:5" x14ac:dyDescent="0.35">
      <c r="B274" s="3">
        <f t="shared" ref="B274:B292" si="6">C274*D274</f>
        <v>0.25</v>
      </c>
      <c r="C274" s="3">
        <v>0.5</v>
      </c>
      <c r="D274" s="3">
        <v>0.5</v>
      </c>
      <c r="E274" s="3">
        <f t="shared" ref="E274:E292" si="7">D274^2</f>
        <v>0.25</v>
      </c>
    </row>
    <row r="275" spans="2:5" x14ac:dyDescent="0.35">
      <c r="B275" s="3">
        <f t="shared" si="6"/>
        <v>0.2601</v>
      </c>
      <c r="C275" s="3">
        <v>0.51</v>
      </c>
      <c r="D275" s="3">
        <v>0.51</v>
      </c>
      <c r="E275" s="3">
        <f t="shared" si="7"/>
        <v>0.2601</v>
      </c>
    </row>
    <row r="276" spans="2:5" x14ac:dyDescent="0.35">
      <c r="B276" s="3">
        <f t="shared" si="6"/>
        <v>0.28090000000000004</v>
      </c>
      <c r="C276" s="3">
        <v>0.53</v>
      </c>
      <c r="D276" s="3">
        <v>0.53</v>
      </c>
      <c r="E276" s="3">
        <f t="shared" si="7"/>
        <v>0.28090000000000004</v>
      </c>
    </row>
    <row r="277" spans="2:5" x14ac:dyDescent="0.35">
      <c r="B277" s="3">
        <f t="shared" si="6"/>
        <v>0.29700000000000004</v>
      </c>
      <c r="C277" s="3">
        <v>0.55000000000000004</v>
      </c>
      <c r="D277" s="3">
        <v>0.54</v>
      </c>
      <c r="E277" s="3">
        <f t="shared" si="7"/>
        <v>0.29160000000000003</v>
      </c>
    </row>
    <row r="278" spans="2:5" x14ac:dyDescent="0.35">
      <c r="B278" s="3">
        <f t="shared" si="6"/>
        <v>0.33629999999999993</v>
      </c>
      <c r="C278" s="3">
        <v>0.59</v>
      </c>
      <c r="D278" s="3">
        <v>0.56999999999999995</v>
      </c>
      <c r="E278" s="3">
        <f t="shared" si="7"/>
        <v>0.32489999999999997</v>
      </c>
    </row>
    <row r="279" spans="2:5" x14ac:dyDescent="0.35">
      <c r="B279" s="3">
        <f t="shared" si="6"/>
        <v>0.36579999999999996</v>
      </c>
      <c r="C279" s="3">
        <v>0.62</v>
      </c>
      <c r="D279" s="3">
        <v>0.59</v>
      </c>
      <c r="E279" s="3">
        <f t="shared" si="7"/>
        <v>0.34809999999999997</v>
      </c>
    </row>
    <row r="280" spans="2:5" x14ac:dyDescent="0.35">
      <c r="B280" s="3">
        <f t="shared" si="6"/>
        <v>0.40950000000000003</v>
      </c>
      <c r="C280" s="3">
        <v>0.65</v>
      </c>
      <c r="D280" s="3">
        <v>0.63</v>
      </c>
      <c r="E280" s="3">
        <f t="shared" si="7"/>
        <v>0.39690000000000003</v>
      </c>
    </row>
    <row r="281" spans="2:5" x14ac:dyDescent="0.35">
      <c r="B281" s="3">
        <f t="shared" si="6"/>
        <v>0.44200000000000006</v>
      </c>
      <c r="C281" s="3">
        <v>0.68</v>
      </c>
      <c r="D281" s="3">
        <v>0.65</v>
      </c>
      <c r="E281" s="3">
        <f t="shared" si="7"/>
        <v>0.42250000000000004</v>
      </c>
    </row>
    <row r="282" spans="2:5" x14ac:dyDescent="0.35">
      <c r="B282" s="3">
        <f t="shared" si="6"/>
        <v>0.49699999999999994</v>
      </c>
      <c r="C282" s="3">
        <v>0.71</v>
      </c>
      <c r="D282" s="3">
        <v>0.7</v>
      </c>
      <c r="E282" s="3">
        <f t="shared" si="7"/>
        <v>0.48999999999999994</v>
      </c>
    </row>
    <row r="283" spans="2:5" x14ac:dyDescent="0.35">
      <c r="B283" s="3">
        <f t="shared" si="6"/>
        <v>0.55479999999999996</v>
      </c>
      <c r="C283" s="3">
        <v>0.73</v>
      </c>
      <c r="D283" s="3">
        <v>0.76</v>
      </c>
      <c r="E283" s="3">
        <f t="shared" si="7"/>
        <v>0.5776</v>
      </c>
    </row>
    <row r="284" spans="2:5" x14ac:dyDescent="0.35">
      <c r="B284" s="3">
        <f t="shared" si="6"/>
        <v>0.61560000000000004</v>
      </c>
      <c r="C284" s="3">
        <v>0.76</v>
      </c>
      <c r="D284" s="3">
        <v>0.81</v>
      </c>
      <c r="E284" s="3">
        <f t="shared" si="7"/>
        <v>0.65610000000000013</v>
      </c>
    </row>
    <row r="285" spans="2:5" x14ac:dyDescent="0.35">
      <c r="B285" s="3">
        <f t="shared" si="6"/>
        <v>0.6794</v>
      </c>
      <c r="C285" s="3">
        <v>0.79</v>
      </c>
      <c r="D285" s="3">
        <v>0.86</v>
      </c>
      <c r="E285" s="3">
        <f t="shared" si="7"/>
        <v>0.73959999999999992</v>
      </c>
    </row>
    <row r="286" spans="2:5" x14ac:dyDescent="0.35">
      <c r="B286" s="3">
        <f t="shared" si="6"/>
        <v>0.73799999999999999</v>
      </c>
      <c r="C286" s="3">
        <v>0.82</v>
      </c>
      <c r="D286" s="3">
        <v>0.9</v>
      </c>
      <c r="E286" s="3">
        <f t="shared" si="7"/>
        <v>0.81</v>
      </c>
    </row>
    <row r="287" spans="2:5" x14ac:dyDescent="0.35">
      <c r="B287" s="3">
        <f t="shared" si="6"/>
        <v>0.81840000000000002</v>
      </c>
      <c r="C287" s="3">
        <v>0.88</v>
      </c>
      <c r="D287" s="3">
        <v>0.93</v>
      </c>
      <c r="E287" s="3">
        <f t="shared" si="7"/>
        <v>0.86490000000000011</v>
      </c>
    </row>
    <row r="288" spans="2:5" x14ac:dyDescent="0.35">
      <c r="B288" s="3">
        <f t="shared" si="6"/>
        <v>0.76559999999999995</v>
      </c>
      <c r="C288" s="3">
        <v>0.87</v>
      </c>
      <c r="D288" s="3">
        <v>0.88</v>
      </c>
      <c r="E288" s="3">
        <f t="shared" si="7"/>
        <v>0.77439999999999998</v>
      </c>
    </row>
    <row r="289" spans="1:5" x14ac:dyDescent="0.35">
      <c r="B289" s="3">
        <f t="shared" si="6"/>
        <v>0.80100000000000005</v>
      </c>
      <c r="C289" s="3">
        <v>0.89</v>
      </c>
      <c r="D289" s="3">
        <v>0.9</v>
      </c>
      <c r="E289" s="3">
        <f t="shared" si="7"/>
        <v>0.81</v>
      </c>
    </row>
    <row r="290" spans="1:5" x14ac:dyDescent="0.35">
      <c r="B290" s="3">
        <f t="shared" si="6"/>
        <v>0.874</v>
      </c>
      <c r="C290" s="3">
        <v>0.92</v>
      </c>
      <c r="D290" s="3">
        <v>0.95</v>
      </c>
      <c r="E290" s="3">
        <f t="shared" si="7"/>
        <v>0.90249999999999997</v>
      </c>
    </row>
    <row r="291" spans="1:5" x14ac:dyDescent="0.35">
      <c r="B291" s="3">
        <f t="shared" si="6"/>
        <v>0.93099999999999994</v>
      </c>
      <c r="C291" s="3">
        <v>0.95</v>
      </c>
      <c r="D291" s="3">
        <v>0.98</v>
      </c>
      <c r="E291" s="3">
        <f t="shared" si="7"/>
        <v>0.96039999999999992</v>
      </c>
    </row>
    <row r="292" spans="1:5" x14ac:dyDescent="0.35">
      <c r="B292" s="3">
        <f t="shared" si="6"/>
        <v>1</v>
      </c>
      <c r="C292" s="3">
        <v>1</v>
      </c>
      <c r="D292" s="3">
        <v>1</v>
      </c>
      <c r="E292" s="3">
        <f t="shared" si="7"/>
        <v>1</v>
      </c>
    </row>
    <row r="293" spans="1:5" x14ac:dyDescent="0.35">
      <c r="A293" s="1" t="s">
        <v>7</v>
      </c>
      <c r="B293" s="3">
        <f>AVERAGE(B273:B292)</f>
        <v>0.55757999999999996</v>
      </c>
      <c r="C293" s="3">
        <f>AVERAGE(C273:C292)</f>
        <v>0.72199999999999998</v>
      </c>
      <c r="D293" s="3">
        <f>AVERAGE(D273:D292)</f>
        <v>0.73350000000000004</v>
      </c>
      <c r="E293" s="3">
        <f>AVERAGE(E273:E292)</f>
        <v>0.56954499999999997</v>
      </c>
    </row>
    <row r="297" spans="1:5" x14ac:dyDescent="0.35">
      <c r="C297" s="7" t="s">
        <v>122</v>
      </c>
      <c r="D297" s="6">
        <f>D293^2</f>
        <v>0.53802225000000004</v>
      </c>
    </row>
    <row r="299" spans="1:5" x14ac:dyDescent="0.35">
      <c r="C299" s="7" t="s">
        <v>187</v>
      </c>
      <c r="D299" s="6">
        <f>(B293-C293*D293)/(E293-D297)</f>
        <v>0.88802531505024129</v>
      </c>
    </row>
    <row r="300" spans="1:5" x14ac:dyDescent="0.35">
      <c r="C300" s="7" t="s">
        <v>188</v>
      </c>
      <c r="D300" s="6">
        <f>C293-D299*D293</f>
        <v>7.0633431410647929E-2</v>
      </c>
    </row>
    <row r="302" spans="1:5" x14ac:dyDescent="0.35">
      <c r="B302" s="1" t="s">
        <v>189</v>
      </c>
    </row>
    <row r="304" spans="1:5" x14ac:dyDescent="0.35">
      <c r="A304" s="1" t="s">
        <v>190</v>
      </c>
    </row>
    <row r="305" spans="2:10" x14ac:dyDescent="0.35">
      <c r="B305" s="1" t="s">
        <v>127</v>
      </c>
      <c r="H305" s="2" t="s">
        <v>128</v>
      </c>
      <c r="I305" s="2" t="s">
        <v>129</v>
      </c>
      <c r="J305" s="2" t="s">
        <v>130</v>
      </c>
    </row>
    <row r="306" spans="2:10" x14ac:dyDescent="0.35">
      <c r="C306" s="1" t="s">
        <v>72</v>
      </c>
      <c r="H306" s="3">
        <f t="shared" ref="H306:H325" si="8">$D$299*D273+$D$300</f>
        <v>0.49688558263476373</v>
      </c>
      <c r="I306" s="19">
        <f>(H306-$C$293)^2</f>
        <v>5.0676500905689779E-2</v>
      </c>
      <c r="J306" s="20">
        <f t="shared" ref="J306:J325" si="9">(H306-C273)^2</f>
        <v>4.7411248220160006E-5</v>
      </c>
    </row>
    <row r="307" spans="2:10" x14ac:dyDescent="0.35">
      <c r="C307" s="1" t="s">
        <v>73</v>
      </c>
      <c r="H307" s="3">
        <f t="shared" si="8"/>
        <v>0.51464608893576858</v>
      </c>
      <c r="I307" s="19">
        <f t="shared" ref="I307:I325" si="10">(H307-$C$293)^2</f>
        <v>4.2995644433633184E-2</v>
      </c>
      <c r="J307" s="20">
        <f t="shared" si="9"/>
        <v>2.1450792111444268E-4</v>
      </c>
    </row>
    <row r="308" spans="2:10" x14ac:dyDescent="0.35">
      <c r="H308" s="3">
        <f t="shared" si="8"/>
        <v>0.52352634208627102</v>
      </c>
      <c r="I308" s="19">
        <f t="shared" si="10"/>
        <v>3.9391792885655905E-2</v>
      </c>
      <c r="J308" s="20">
        <f t="shared" si="9"/>
        <v>1.8296193023482652E-4</v>
      </c>
    </row>
    <row r="309" spans="2:10" x14ac:dyDescent="0.35">
      <c r="H309" s="3">
        <f t="shared" si="8"/>
        <v>0.54128684838727592</v>
      </c>
      <c r="I309" s="19">
        <f t="shared" si="10"/>
        <v>3.2657243165803387E-2</v>
      </c>
      <c r="J309" s="20">
        <f t="shared" si="9"/>
        <v>1.2739294651735244E-4</v>
      </c>
    </row>
    <row r="310" spans="2:10" x14ac:dyDescent="0.35">
      <c r="H310" s="3">
        <f t="shared" si="8"/>
        <v>0.55016710153777826</v>
      </c>
      <c r="I310" s="19">
        <f t="shared" si="10"/>
        <v>2.9526544993928198E-2</v>
      </c>
      <c r="J310" s="20">
        <f t="shared" si="9"/>
        <v>2.7922923927843775E-8</v>
      </c>
    </row>
    <row r="311" spans="2:10" x14ac:dyDescent="0.35">
      <c r="H311" s="3">
        <f t="shared" si="8"/>
        <v>0.57680786098928538</v>
      </c>
      <c r="I311" s="19">
        <f t="shared" si="10"/>
        <v>2.1080757230506671E-2</v>
      </c>
      <c r="J311" s="20">
        <f t="shared" si="9"/>
        <v>1.7403253167801766E-4</v>
      </c>
    </row>
    <row r="312" spans="2:10" x14ac:dyDescent="0.35">
      <c r="C312" s="1" t="s">
        <v>74</v>
      </c>
      <c r="H312" s="3">
        <f t="shared" si="8"/>
        <v>0.59456836729029028</v>
      </c>
      <c r="I312" s="19">
        <f t="shared" si="10"/>
        <v>1.6238821015062355E-2</v>
      </c>
      <c r="J312" s="20">
        <f t="shared" si="9"/>
        <v>6.4676794228157722E-4</v>
      </c>
    </row>
    <row r="313" spans="2:10" x14ac:dyDescent="0.35">
      <c r="C313" s="1" t="s">
        <v>131</v>
      </c>
      <c r="H313" s="3">
        <f t="shared" si="8"/>
        <v>0.63008937989229996</v>
      </c>
      <c r="I313" s="19">
        <f t="shared" si="10"/>
        <v>8.4475620885819495E-3</v>
      </c>
      <c r="J313" s="20">
        <f t="shared" si="9"/>
        <v>3.9643279307315001E-4</v>
      </c>
    </row>
    <row r="314" spans="2:10" x14ac:dyDescent="0.35">
      <c r="C314" s="1" t="s">
        <v>132</v>
      </c>
      <c r="H314" s="3">
        <f t="shared" si="8"/>
        <v>0.64784988619330475</v>
      </c>
      <c r="I314" s="19">
        <f t="shared" si="10"/>
        <v>5.4982393775458542E-3</v>
      </c>
      <c r="J314" s="20">
        <f t="shared" si="9"/>
        <v>1.03362981778346E-3</v>
      </c>
    </row>
    <row r="315" spans="2:10" x14ac:dyDescent="0.35">
      <c r="H315" s="3">
        <f t="shared" si="8"/>
        <v>0.69225115194581677</v>
      </c>
      <c r="I315" s="19">
        <f t="shared" si="10"/>
        <v>8.8499396055087998E-4</v>
      </c>
      <c r="J315" s="20">
        <f t="shared" si="9"/>
        <v>3.1502160725048266E-4</v>
      </c>
    </row>
    <row r="316" spans="2:10" x14ac:dyDescent="0.35">
      <c r="C316" s="7" t="s">
        <v>133</v>
      </c>
      <c r="D316" s="7">
        <f>(I326/J326)*18</f>
        <v>774.80029146447293</v>
      </c>
      <c r="H316" s="3">
        <f t="shared" si="8"/>
        <v>0.74553267084883135</v>
      </c>
      <c r="I316" s="19">
        <f t="shared" si="10"/>
        <v>5.5378659727943784E-4</v>
      </c>
      <c r="J316" s="20">
        <f t="shared" si="9"/>
        <v>2.4126386369813566E-4</v>
      </c>
    </row>
    <row r="317" spans="2:10" x14ac:dyDescent="0.35">
      <c r="C317" s="7" t="s">
        <v>79</v>
      </c>
      <c r="D317" s="7">
        <v>4.41</v>
      </c>
      <c r="H317" s="3">
        <f t="shared" si="8"/>
        <v>0.78993393660134348</v>
      </c>
      <c r="I317" s="19">
        <f t="shared" si="10"/>
        <v>4.6150197421553586E-3</v>
      </c>
      <c r="J317" s="20">
        <f t="shared" si="9"/>
        <v>8.9604056045325018E-4</v>
      </c>
    </row>
    <row r="318" spans="2:10" x14ac:dyDescent="0.35">
      <c r="H318" s="3">
        <f t="shared" si="8"/>
        <v>0.83433520235385539</v>
      </c>
      <c r="I318" s="19">
        <f t="shared" si="10"/>
        <v>1.2619197687881643E-2</v>
      </c>
      <c r="J318" s="20">
        <f t="shared" si="9"/>
        <v>1.9656101677573011E-3</v>
      </c>
    </row>
    <row r="319" spans="2:10" x14ac:dyDescent="0.35">
      <c r="H319" s="3">
        <f t="shared" si="8"/>
        <v>0.86985621495586507</v>
      </c>
      <c r="I319" s="19">
        <f t="shared" si="10"/>
        <v>2.1861460301074984E-2</v>
      </c>
      <c r="J319" s="20">
        <f t="shared" si="9"/>
        <v>2.4856421697254287E-3</v>
      </c>
    </row>
    <row r="320" spans="2:10" x14ac:dyDescent="0.35">
      <c r="C320" s="1" t="s">
        <v>134</v>
      </c>
      <c r="H320" s="3">
        <f t="shared" si="8"/>
        <v>0.89649697440737242</v>
      </c>
      <c r="I320" s="19">
        <f t="shared" si="10"/>
        <v>3.0449194077327192E-2</v>
      </c>
      <c r="J320" s="20">
        <f t="shared" si="9"/>
        <v>2.7215016459750032E-4</v>
      </c>
    </row>
    <row r="321" spans="2:10" x14ac:dyDescent="0.35">
      <c r="H321" s="3">
        <f t="shared" si="8"/>
        <v>0.85209570865486028</v>
      </c>
      <c r="I321" s="19">
        <f t="shared" si="10"/>
        <v>1.6924893410410296E-2</v>
      </c>
      <c r="J321" s="20">
        <f t="shared" si="9"/>
        <v>3.205636485716448E-4</v>
      </c>
    </row>
    <row r="322" spans="2:10" x14ac:dyDescent="0.35">
      <c r="H322" s="3">
        <f t="shared" si="8"/>
        <v>0.86985621495586507</v>
      </c>
      <c r="I322" s="19">
        <f t="shared" si="10"/>
        <v>2.1861460301074984E-2</v>
      </c>
      <c r="J322" s="20">
        <f t="shared" si="9"/>
        <v>4.0577207590431462E-4</v>
      </c>
    </row>
    <row r="323" spans="2:10" x14ac:dyDescent="0.35">
      <c r="H323" s="3">
        <f t="shared" si="8"/>
        <v>0.91425748070837709</v>
      </c>
      <c r="I323" s="19">
        <f t="shared" si="10"/>
        <v>3.6962938888331999E-2</v>
      </c>
      <c r="J323" s="20">
        <f t="shared" si="9"/>
        <v>3.2976527814661739E-5</v>
      </c>
    </row>
    <row r="324" spans="2:10" x14ac:dyDescent="0.35">
      <c r="H324" s="3">
        <f t="shared" si="8"/>
        <v>0.94089824015988432</v>
      </c>
      <c r="I324" s="19">
        <f t="shared" si="10"/>
        <v>4.7916439545094405E-2</v>
      </c>
      <c r="J324" s="20">
        <f t="shared" si="9"/>
        <v>8.2842032187141709E-5</v>
      </c>
    </row>
    <row r="325" spans="2:10" x14ac:dyDescent="0.35">
      <c r="H325" s="3">
        <f t="shared" si="8"/>
        <v>0.95865874646088922</v>
      </c>
      <c r="I325" s="19">
        <f t="shared" si="10"/>
        <v>5.600736227643946E-2</v>
      </c>
      <c r="J325" s="20">
        <f t="shared" si="9"/>
        <v>1.7090992441850395E-3</v>
      </c>
    </row>
    <row r="326" spans="2:10" x14ac:dyDescent="0.35">
      <c r="G326" s="1" t="s">
        <v>22</v>
      </c>
      <c r="I326" s="4">
        <f>SUM(I306:I325)</f>
        <v>0.49716985288402804</v>
      </c>
      <c r="J326" s="21">
        <f>SUM(J306:J325)</f>
        <v>1.1550147115971817E-2</v>
      </c>
    </row>
    <row r="330" spans="2:10" x14ac:dyDescent="0.35">
      <c r="B330" s="1" t="s">
        <v>135</v>
      </c>
    </row>
    <row r="334" spans="2:10" x14ac:dyDescent="0.35">
      <c r="C334" s="7" t="s">
        <v>136</v>
      </c>
      <c r="D334" s="7">
        <f>SQRT(J326/18)</f>
        <v>2.5331301580775751E-2</v>
      </c>
      <c r="F334" s="1" t="s">
        <v>191</v>
      </c>
    </row>
    <row r="337" spans="1:10" x14ac:dyDescent="0.35">
      <c r="B337" s="1" t="s">
        <v>138</v>
      </c>
    </row>
    <row r="338" spans="1:10" x14ac:dyDescent="0.35">
      <c r="I338" s="7" t="s">
        <v>139</v>
      </c>
      <c r="J338" s="22">
        <f>VAR(C273:C292)</f>
        <v>2.6774736842105278E-2</v>
      </c>
    </row>
    <row r="341" spans="1:10" x14ac:dyDescent="0.35">
      <c r="C341" s="7" t="s">
        <v>140</v>
      </c>
      <c r="D341" s="6">
        <f>1-(D334^2/J338)</f>
        <v>0.97603431758973891</v>
      </c>
      <c r="F341" s="1" t="s">
        <v>192</v>
      </c>
    </row>
    <row r="343" spans="1:10" x14ac:dyDescent="0.35">
      <c r="A343" s="1" t="s">
        <v>193</v>
      </c>
    </row>
    <row r="344" spans="1:10" x14ac:dyDescent="0.35">
      <c r="D344" s="1" t="s">
        <v>189</v>
      </c>
    </row>
    <row r="346" spans="1:10" x14ac:dyDescent="0.35">
      <c r="G346" s="1" t="s">
        <v>194</v>
      </c>
    </row>
    <row r="347" spans="1:10" x14ac:dyDescent="0.35">
      <c r="G347" s="2" t="s">
        <v>195</v>
      </c>
      <c r="H347" s="7">
        <f>D299*D293+D300</f>
        <v>0.72199999999999998</v>
      </c>
    </row>
    <row r="348" spans="1:10" x14ac:dyDescent="0.35">
      <c r="G348" s="1" t="s">
        <v>146</v>
      </c>
    </row>
    <row r="349" spans="1:10" x14ac:dyDescent="0.35">
      <c r="G349" s="1" t="s">
        <v>196</v>
      </c>
    </row>
    <row r="350" spans="1:10" x14ac:dyDescent="0.35">
      <c r="G350" s="6">
        <f>H347*H85</f>
        <v>713.91359999999997</v>
      </c>
    </row>
    <row r="351" spans="1:10" x14ac:dyDescent="0.35">
      <c r="A351" s="1" t="s">
        <v>197</v>
      </c>
    </row>
    <row r="353" spans="1:8" x14ac:dyDescent="0.35">
      <c r="G353" s="1" t="s">
        <v>198</v>
      </c>
    </row>
    <row r="354" spans="1:8" x14ac:dyDescent="0.35">
      <c r="D354" s="1" t="s">
        <v>150</v>
      </c>
      <c r="E354" s="1">
        <f>STDEV(D273:D292)</f>
        <v>0.182158837571124</v>
      </c>
      <c r="G354" s="2" t="s">
        <v>199</v>
      </c>
      <c r="H354" s="7">
        <f>D299*(D293-E354)+D300</f>
        <v>0.56023834087671687</v>
      </c>
    </row>
    <row r="355" spans="1:8" x14ac:dyDescent="0.35">
      <c r="G355" s="1" t="s">
        <v>146</v>
      </c>
    </row>
    <row r="356" spans="1:8" x14ac:dyDescent="0.35">
      <c r="G356" s="1" t="s">
        <v>200</v>
      </c>
    </row>
    <row r="357" spans="1:8" x14ac:dyDescent="0.35">
      <c r="G357" s="6">
        <f>H354*H85</f>
        <v>553.96367145889758</v>
      </c>
    </row>
    <row r="358" spans="1:8" x14ac:dyDescent="0.35">
      <c r="A358" s="23" t="s">
        <v>201</v>
      </c>
    </row>
    <row r="359" spans="1:8" x14ac:dyDescent="0.35">
      <c r="A359" s="23"/>
    </row>
    <row r="360" spans="1:8" x14ac:dyDescent="0.35">
      <c r="A360" s="23"/>
    </row>
    <row r="361" spans="1:8" x14ac:dyDescent="0.35">
      <c r="A361" s="23"/>
    </row>
    <row r="363" spans="1:8" x14ac:dyDescent="0.35">
      <c r="G363" s="1" t="s">
        <v>202</v>
      </c>
    </row>
    <row r="364" spans="1:8" x14ac:dyDescent="0.35">
      <c r="G364" s="2" t="s">
        <v>203</v>
      </c>
      <c r="H364" s="7">
        <f>D299*(D293+E354)+D300</f>
        <v>0.88376165912328308</v>
      </c>
    </row>
    <row r="365" spans="1:8" x14ac:dyDescent="0.35">
      <c r="G365" s="1" t="s">
        <v>146</v>
      </c>
    </row>
    <row r="366" spans="1:8" x14ac:dyDescent="0.35">
      <c r="G366" s="1" t="s">
        <v>204</v>
      </c>
    </row>
    <row r="367" spans="1:8" x14ac:dyDescent="0.35">
      <c r="G367" s="6">
        <f>H364*H85</f>
        <v>873.86352854110226</v>
      </c>
    </row>
    <row r="368" spans="1:8" x14ac:dyDescent="0.35">
      <c r="A368" s="23" t="s">
        <v>205</v>
      </c>
    </row>
    <row r="370" spans="1:8" x14ac:dyDescent="0.35">
      <c r="G370" s="1" t="s">
        <v>206</v>
      </c>
    </row>
    <row r="371" spans="1:8" x14ac:dyDescent="0.35">
      <c r="D371" s="1" t="s">
        <v>207</v>
      </c>
      <c r="E371" s="4">
        <f>MIN(D273:D292)</f>
        <v>0.48</v>
      </c>
      <c r="G371" s="7" t="s">
        <v>208</v>
      </c>
      <c r="H371" s="7">
        <f>D299*(E371-E354)+D300</f>
        <v>0.33512392351148063</v>
      </c>
    </row>
    <row r="372" spans="1:8" x14ac:dyDescent="0.35">
      <c r="G372" s="1" t="s">
        <v>146</v>
      </c>
    </row>
    <row r="373" spans="1:8" x14ac:dyDescent="0.35">
      <c r="G373" s="1" t="s">
        <v>209</v>
      </c>
    </row>
    <row r="374" spans="1:8" x14ac:dyDescent="0.35">
      <c r="G374" s="6">
        <f>H371*H85</f>
        <v>331.37053556815204</v>
      </c>
    </row>
    <row r="375" spans="1:8" x14ac:dyDescent="0.35">
      <c r="A375" s="24" t="s">
        <v>210</v>
      </c>
    </row>
    <row r="377" spans="1:8" x14ac:dyDescent="0.35">
      <c r="G377" s="1" t="s">
        <v>211</v>
      </c>
    </row>
    <row r="378" spans="1:8" x14ac:dyDescent="0.35">
      <c r="D378" s="1" t="s">
        <v>212</v>
      </c>
      <c r="E378" s="4">
        <f>MAX(D273:D292)</f>
        <v>1</v>
      </c>
      <c r="G378" s="7" t="s">
        <v>213</v>
      </c>
      <c r="H378" s="7">
        <f>D299*(E378+E354)+D300</f>
        <v>1.1204204055841722</v>
      </c>
    </row>
    <row r="379" spans="1:8" x14ac:dyDescent="0.35">
      <c r="G379" s="1" t="s">
        <v>146</v>
      </c>
    </row>
    <row r="380" spans="1:8" x14ac:dyDescent="0.35">
      <c r="G380" s="1" t="s">
        <v>214</v>
      </c>
    </row>
    <row r="381" spans="1:8" x14ac:dyDescent="0.35">
      <c r="G381" s="6">
        <f>H378*H85</f>
        <v>1107.8716970416294</v>
      </c>
    </row>
    <row r="382" spans="1:8" x14ac:dyDescent="0.35">
      <c r="A382" s="24" t="s">
        <v>215</v>
      </c>
    </row>
    <row r="384" spans="1:8" x14ac:dyDescent="0.35">
      <c r="G384" s="1" t="s">
        <v>168</v>
      </c>
    </row>
    <row r="387" spans="7:8" x14ac:dyDescent="0.35">
      <c r="G387" s="1" t="s">
        <v>132</v>
      </c>
    </row>
    <row r="389" spans="7:8" x14ac:dyDescent="0.35">
      <c r="G389" s="1" t="s">
        <v>169</v>
      </c>
      <c r="H389" s="25">
        <f>(1/19)*C422</f>
        <v>2.736842105263158E-2</v>
      </c>
    </row>
    <row r="392" spans="7:8" x14ac:dyDescent="0.35">
      <c r="G392" s="1" t="s">
        <v>170</v>
      </c>
    </row>
    <row r="393" spans="7:8" x14ac:dyDescent="0.35">
      <c r="G393" s="1" t="s">
        <v>171</v>
      </c>
    </row>
    <row r="396" spans="7:8" x14ac:dyDescent="0.35">
      <c r="G396" s="7" t="s">
        <v>172</v>
      </c>
      <c r="H396" s="8">
        <f>D292+H389</f>
        <v>1.0273684210526315</v>
      </c>
    </row>
    <row r="397" spans="7:8" x14ac:dyDescent="0.35">
      <c r="G397" s="7" t="s">
        <v>173</v>
      </c>
      <c r="H397" s="7">
        <f>D292+2*H389</f>
        <v>1.0547368421052632</v>
      </c>
    </row>
    <row r="399" spans="7:8" x14ac:dyDescent="0.35">
      <c r="G399" s="7" t="s">
        <v>174</v>
      </c>
      <c r="H399" s="7">
        <f>D299*H396+D300</f>
        <v>0.98296259718857992</v>
      </c>
    </row>
    <row r="400" spans="7:8" x14ac:dyDescent="0.35">
      <c r="G400" s="7" t="s">
        <v>175</v>
      </c>
      <c r="H400" s="7">
        <f>D299*H397+D300</f>
        <v>1.0072664479162707</v>
      </c>
    </row>
    <row r="401" spans="2:7" x14ac:dyDescent="0.35">
      <c r="B401" s="2" t="s">
        <v>5</v>
      </c>
    </row>
    <row r="402" spans="2:7" x14ac:dyDescent="0.35">
      <c r="B402" s="3">
        <v>0.48</v>
      </c>
      <c r="C402" s="6">
        <f>B403-B402</f>
        <v>2.0000000000000018E-2</v>
      </c>
      <c r="G402" s="1" t="s">
        <v>146</v>
      </c>
    </row>
    <row r="403" spans="2:7" x14ac:dyDescent="0.35">
      <c r="B403" s="3">
        <v>0.5</v>
      </c>
      <c r="C403" s="6">
        <f t="shared" ref="C403:C420" si="11">B404-B403</f>
        <v>1.0000000000000009E-2</v>
      </c>
      <c r="G403" s="1" t="s">
        <v>176</v>
      </c>
    </row>
    <row r="404" spans="2:7" x14ac:dyDescent="0.35">
      <c r="B404" s="3">
        <v>0.51</v>
      </c>
      <c r="C404" s="6">
        <f t="shared" si="11"/>
        <v>2.0000000000000018E-2</v>
      </c>
      <c r="G404" s="1" t="s">
        <v>177</v>
      </c>
    </row>
    <row r="405" spans="2:7" x14ac:dyDescent="0.35">
      <c r="B405" s="3">
        <v>0.53</v>
      </c>
      <c r="C405" s="6">
        <f t="shared" si="11"/>
        <v>1.0000000000000009E-2</v>
      </c>
    </row>
    <row r="406" spans="2:7" x14ac:dyDescent="0.35">
      <c r="B406" s="3">
        <v>0.54</v>
      </c>
      <c r="C406" s="6">
        <f t="shared" si="11"/>
        <v>2.9999999999999916E-2</v>
      </c>
      <c r="G406" s="6">
        <f>H399*H85</f>
        <v>971.95341610006778</v>
      </c>
    </row>
    <row r="407" spans="2:7" x14ac:dyDescent="0.35">
      <c r="B407" s="3">
        <v>0.56999999999999995</v>
      </c>
      <c r="C407" s="6">
        <f t="shared" si="11"/>
        <v>2.0000000000000018E-2</v>
      </c>
      <c r="G407" s="6">
        <f>H400*H85</f>
        <v>995.98506369960842</v>
      </c>
    </row>
    <row r="408" spans="2:7" x14ac:dyDescent="0.35">
      <c r="B408" s="3">
        <v>0.59</v>
      </c>
      <c r="C408" s="6">
        <f t="shared" si="11"/>
        <v>4.0000000000000036E-2</v>
      </c>
    </row>
    <row r="409" spans="2:7" x14ac:dyDescent="0.35">
      <c r="B409" s="3">
        <v>0.63</v>
      </c>
      <c r="C409" s="6">
        <f t="shared" si="11"/>
        <v>2.0000000000000018E-2</v>
      </c>
    </row>
    <row r="410" spans="2:7" x14ac:dyDescent="0.35">
      <c r="B410" s="3">
        <v>0.65</v>
      </c>
      <c r="C410" s="6">
        <f t="shared" si="11"/>
        <v>4.9999999999999933E-2</v>
      </c>
    </row>
    <row r="411" spans="2:7" x14ac:dyDescent="0.35">
      <c r="B411" s="3">
        <v>0.7</v>
      </c>
      <c r="C411" s="6">
        <f t="shared" si="11"/>
        <v>6.0000000000000053E-2</v>
      </c>
    </row>
    <row r="412" spans="2:7" x14ac:dyDescent="0.35">
      <c r="B412" s="3">
        <v>0.76</v>
      </c>
      <c r="C412" s="6">
        <f t="shared" si="11"/>
        <v>5.0000000000000044E-2</v>
      </c>
    </row>
    <row r="413" spans="2:7" x14ac:dyDescent="0.35">
      <c r="B413" s="3">
        <v>0.81</v>
      </c>
      <c r="C413" s="6">
        <f t="shared" si="11"/>
        <v>4.9999999999999933E-2</v>
      </c>
    </row>
    <row r="414" spans="2:7" x14ac:dyDescent="0.35">
      <c r="B414" s="3">
        <v>0.86</v>
      </c>
      <c r="C414" s="6">
        <f t="shared" si="11"/>
        <v>4.0000000000000036E-2</v>
      </c>
    </row>
    <row r="415" spans="2:7" x14ac:dyDescent="0.35">
      <c r="B415" s="3">
        <v>0.9</v>
      </c>
      <c r="C415" s="6">
        <f t="shared" si="11"/>
        <v>3.0000000000000027E-2</v>
      </c>
    </row>
    <row r="416" spans="2:7" x14ac:dyDescent="0.35">
      <c r="B416" s="3">
        <v>0.93</v>
      </c>
      <c r="C416" s="6">
        <f>B417-B416</f>
        <v>-5.0000000000000044E-2</v>
      </c>
    </row>
    <row r="417" spans="1:6" x14ac:dyDescent="0.35">
      <c r="B417" s="3">
        <v>0.88</v>
      </c>
      <c r="C417" s="6">
        <f t="shared" si="11"/>
        <v>2.0000000000000018E-2</v>
      </c>
    </row>
    <row r="418" spans="1:6" x14ac:dyDescent="0.35">
      <c r="B418" s="3">
        <v>0.9</v>
      </c>
      <c r="C418" s="6">
        <f t="shared" si="11"/>
        <v>4.9999999999999933E-2</v>
      </c>
    </row>
    <row r="419" spans="1:6" x14ac:dyDescent="0.35">
      <c r="B419" s="3">
        <v>0.95</v>
      </c>
      <c r="C419" s="6">
        <f t="shared" si="11"/>
        <v>3.0000000000000027E-2</v>
      </c>
    </row>
    <row r="420" spans="1:6" x14ac:dyDescent="0.35">
      <c r="B420" s="3">
        <v>0.98</v>
      </c>
      <c r="C420" s="6">
        <f t="shared" si="11"/>
        <v>2.0000000000000018E-2</v>
      </c>
    </row>
    <row r="421" spans="1:6" x14ac:dyDescent="0.35">
      <c r="B421" s="3">
        <v>1</v>
      </c>
      <c r="C421" s="7"/>
    </row>
    <row r="422" spans="1:6" x14ac:dyDescent="0.35">
      <c r="B422" s="1" t="s">
        <v>22</v>
      </c>
      <c r="C422" s="4">
        <f>SUM(C402:C420)</f>
        <v>0.52</v>
      </c>
    </row>
    <row r="425" spans="1:6" ht="15.5" x14ac:dyDescent="0.35">
      <c r="A425" s="26" t="s">
        <v>216</v>
      </c>
    </row>
    <row r="429" spans="1:6" x14ac:dyDescent="0.35">
      <c r="A429" s="1" t="s">
        <v>217</v>
      </c>
    </row>
    <row r="430" spans="1:6" x14ac:dyDescent="0.35">
      <c r="B430" s="1" t="s">
        <v>218</v>
      </c>
    </row>
    <row r="432" spans="1:6" x14ac:dyDescent="0.35">
      <c r="B432" s="18" t="s">
        <v>219</v>
      </c>
      <c r="E432" s="18" t="s">
        <v>117</v>
      </c>
      <c r="F432" s="1" t="s">
        <v>220</v>
      </c>
    </row>
    <row r="433" spans="2:6" x14ac:dyDescent="0.35">
      <c r="B433" s="1" t="s">
        <v>221</v>
      </c>
      <c r="F433" s="1" t="s">
        <v>222</v>
      </c>
    </row>
    <row r="437" spans="2:6" x14ac:dyDescent="0.35">
      <c r="B437" s="2" t="s">
        <v>185</v>
      </c>
      <c r="C437" s="2" t="s">
        <v>69</v>
      </c>
      <c r="D437" s="2" t="s">
        <v>6</v>
      </c>
      <c r="E437" s="2" t="s">
        <v>186</v>
      </c>
    </row>
    <row r="438" spans="2:6" x14ac:dyDescent="0.35">
      <c r="B438" s="3">
        <f>C438*D438</f>
        <v>0.38219999999999998</v>
      </c>
      <c r="C438" s="3">
        <v>0.49</v>
      </c>
      <c r="D438" s="3">
        <v>0.78</v>
      </c>
      <c r="E438" s="3">
        <f>D438^2</f>
        <v>0.60840000000000005</v>
      </c>
    </row>
    <row r="439" spans="2:6" x14ac:dyDescent="0.35">
      <c r="B439" s="3">
        <f t="shared" ref="B439:B457" si="12">C439*D439</f>
        <v>0.4</v>
      </c>
      <c r="C439" s="3">
        <v>0.5</v>
      </c>
      <c r="D439" s="3">
        <v>0.8</v>
      </c>
      <c r="E439" s="3">
        <f t="shared" ref="E439:E457" si="13">D439^2</f>
        <v>0.64000000000000012</v>
      </c>
    </row>
    <row r="440" spans="2:6" x14ac:dyDescent="0.35">
      <c r="B440" s="3">
        <f t="shared" si="12"/>
        <v>0.41819999999999996</v>
      </c>
      <c r="C440" s="3">
        <v>0.51</v>
      </c>
      <c r="D440" s="3">
        <v>0.82</v>
      </c>
      <c r="E440" s="3">
        <f t="shared" si="13"/>
        <v>0.67239999999999989</v>
      </c>
    </row>
    <row r="441" spans="2:6" x14ac:dyDescent="0.35">
      <c r="B441" s="3">
        <f t="shared" si="12"/>
        <v>0.43459999999999999</v>
      </c>
      <c r="C441" s="3">
        <v>0.53</v>
      </c>
      <c r="D441" s="3">
        <v>0.82</v>
      </c>
      <c r="E441" s="3">
        <f t="shared" si="13"/>
        <v>0.67239999999999989</v>
      </c>
    </row>
    <row r="442" spans="2:6" x14ac:dyDescent="0.35">
      <c r="B442" s="3">
        <f t="shared" si="12"/>
        <v>0.45650000000000002</v>
      </c>
      <c r="C442" s="3">
        <v>0.55000000000000004</v>
      </c>
      <c r="D442" s="3">
        <v>0.83</v>
      </c>
      <c r="E442" s="3">
        <f t="shared" si="13"/>
        <v>0.68889999999999996</v>
      </c>
    </row>
    <row r="443" spans="2:6" x14ac:dyDescent="0.35">
      <c r="B443" s="3">
        <f t="shared" si="12"/>
        <v>0.48379999999999995</v>
      </c>
      <c r="C443" s="3">
        <v>0.59</v>
      </c>
      <c r="D443" s="3">
        <v>0.82</v>
      </c>
      <c r="E443" s="3">
        <f t="shared" si="13"/>
        <v>0.67239999999999989</v>
      </c>
    </row>
    <row r="444" spans="2:6" x14ac:dyDescent="0.35">
      <c r="B444" s="3">
        <f t="shared" si="12"/>
        <v>0.52700000000000002</v>
      </c>
      <c r="C444" s="3">
        <v>0.62</v>
      </c>
      <c r="D444" s="3">
        <v>0.85</v>
      </c>
      <c r="E444" s="3">
        <f t="shared" si="13"/>
        <v>0.72249999999999992</v>
      </c>
    </row>
    <row r="445" spans="2:6" x14ac:dyDescent="0.35">
      <c r="B445" s="3">
        <f t="shared" si="12"/>
        <v>0.55249999999999999</v>
      </c>
      <c r="C445" s="3">
        <v>0.65</v>
      </c>
      <c r="D445" s="3">
        <v>0.85</v>
      </c>
      <c r="E445" s="3">
        <f t="shared" si="13"/>
        <v>0.72249999999999992</v>
      </c>
    </row>
    <row r="446" spans="2:6" x14ac:dyDescent="0.35">
      <c r="B446" s="3">
        <f t="shared" si="12"/>
        <v>0.58479999999999999</v>
      </c>
      <c r="C446" s="3">
        <v>0.68</v>
      </c>
      <c r="D446" s="3">
        <v>0.86</v>
      </c>
      <c r="E446" s="3">
        <f t="shared" si="13"/>
        <v>0.73959999999999992</v>
      </c>
    </row>
    <row r="447" spans="2:6" x14ac:dyDescent="0.35">
      <c r="B447" s="3">
        <f t="shared" si="12"/>
        <v>0.60349999999999993</v>
      </c>
      <c r="C447" s="3">
        <v>0.71</v>
      </c>
      <c r="D447" s="3">
        <v>0.85</v>
      </c>
      <c r="E447" s="3">
        <f t="shared" si="13"/>
        <v>0.72249999999999992</v>
      </c>
    </row>
    <row r="448" spans="2:6" x14ac:dyDescent="0.35">
      <c r="B448" s="3">
        <f t="shared" si="12"/>
        <v>0.60589999999999999</v>
      </c>
      <c r="C448" s="3">
        <v>0.73</v>
      </c>
      <c r="D448" s="3">
        <v>0.83</v>
      </c>
      <c r="E448" s="3">
        <f t="shared" si="13"/>
        <v>0.68889999999999996</v>
      </c>
    </row>
    <row r="449" spans="1:5" x14ac:dyDescent="0.35">
      <c r="B449" s="3">
        <f t="shared" si="12"/>
        <v>0.64600000000000002</v>
      </c>
      <c r="C449" s="3">
        <v>0.76</v>
      </c>
      <c r="D449" s="3">
        <v>0.85</v>
      </c>
      <c r="E449" s="3">
        <f t="shared" si="13"/>
        <v>0.72249999999999992</v>
      </c>
    </row>
    <row r="450" spans="1:5" x14ac:dyDescent="0.35">
      <c r="B450" s="3">
        <f t="shared" si="12"/>
        <v>0.6794</v>
      </c>
      <c r="C450" s="3">
        <v>0.79</v>
      </c>
      <c r="D450" s="3">
        <v>0.86</v>
      </c>
      <c r="E450" s="3">
        <f t="shared" si="13"/>
        <v>0.73959999999999992</v>
      </c>
    </row>
    <row r="451" spans="1:5" x14ac:dyDescent="0.35">
      <c r="B451" s="3">
        <f t="shared" si="12"/>
        <v>0.7298</v>
      </c>
      <c r="C451" s="3">
        <v>0.82</v>
      </c>
      <c r="D451" s="3">
        <v>0.89</v>
      </c>
      <c r="E451" s="3">
        <f t="shared" si="13"/>
        <v>0.79210000000000003</v>
      </c>
    </row>
    <row r="452" spans="1:5" x14ac:dyDescent="0.35">
      <c r="B452" s="3">
        <f t="shared" si="12"/>
        <v>0.81840000000000002</v>
      </c>
      <c r="C452" s="3">
        <v>0.88</v>
      </c>
      <c r="D452" s="3">
        <v>0.93</v>
      </c>
      <c r="E452" s="3">
        <f t="shared" si="13"/>
        <v>0.86490000000000011</v>
      </c>
    </row>
    <row r="453" spans="1:5" x14ac:dyDescent="0.35">
      <c r="B453" s="3">
        <f t="shared" si="12"/>
        <v>0.82650000000000001</v>
      </c>
      <c r="C453" s="3">
        <v>0.87</v>
      </c>
      <c r="D453" s="3">
        <v>0.95</v>
      </c>
      <c r="E453" s="3">
        <f t="shared" si="13"/>
        <v>0.90249999999999997</v>
      </c>
    </row>
    <row r="454" spans="1:5" x14ac:dyDescent="0.35">
      <c r="B454" s="3">
        <f t="shared" si="12"/>
        <v>0.83660000000000001</v>
      </c>
      <c r="C454" s="3">
        <v>0.89</v>
      </c>
      <c r="D454" s="3">
        <v>0.94</v>
      </c>
      <c r="E454" s="3">
        <f t="shared" si="13"/>
        <v>0.88359999999999994</v>
      </c>
    </row>
    <row r="455" spans="1:5" x14ac:dyDescent="0.35">
      <c r="B455" s="3">
        <f t="shared" si="12"/>
        <v>0.92</v>
      </c>
      <c r="C455" s="3">
        <v>0.92</v>
      </c>
      <c r="D455" s="3">
        <v>1</v>
      </c>
      <c r="E455" s="3">
        <f t="shared" si="13"/>
        <v>1</v>
      </c>
    </row>
    <row r="456" spans="1:5" x14ac:dyDescent="0.35">
      <c r="B456" s="3">
        <f t="shared" si="12"/>
        <v>0.91199999999999992</v>
      </c>
      <c r="C456" s="3">
        <v>0.95</v>
      </c>
      <c r="D456" s="3">
        <v>0.96</v>
      </c>
      <c r="E456" s="3">
        <f t="shared" si="13"/>
        <v>0.92159999999999997</v>
      </c>
    </row>
    <row r="457" spans="1:5" x14ac:dyDescent="0.35">
      <c r="B457" s="3">
        <f t="shared" si="12"/>
        <v>0.99</v>
      </c>
      <c r="C457" s="3">
        <v>1</v>
      </c>
      <c r="D457" s="3">
        <v>0.99</v>
      </c>
      <c r="E457" s="3">
        <f t="shared" si="13"/>
        <v>0.98009999999999997</v>
      </c>
    </row>
    <row r="458" spans="1:5" x14ac:dyDescent="0.35">
      <c r="A458" s="1" t="s">
        <v>7</v>
      </c>
      <c r="B458" s="3">
        <f>AVERAGE(B438:B457)</f>
        <v>0.64038499999999998</v>
      </c>
      <c r="C458" s="3">
        <f>AVERAGE(C438:C457)</f>
        <v>0.72199999999999998</v>
      </c>
      <c r="D458" s="3">
        <f>AVERAGE(D438:D457)</f>
        <v>0.87399999999999989</v>
      </c>
      <c r="E458" s="3">
        <f>AVERAGE(E438:E457)</f>
        <v>0.76786999999999994</v>
      </c>
    </row>
    <row r="462" spans="1:5" x14ac:dyDescent="0.35">
      <c r="C462" s="7" t="s">
        <v>122</v>
      </c>
      <c r="D462" s="6">
        <f>D458^2</f>
        <v>0.76387599999999978</v>
      </c>
    </row>
    <row r="464" spans="1:5" x14ac:dyDescent="0.35">
      <c r="C464" s="7" t="s">
        <v>223</v>
      </c>
      <c r="D464" s="6">
        <f>(B458-C458*D458)/(E458-D462)</f>
        <v>2.3427641462192477</v>
      </c>
    </row>
    <row r="465" spans="1:10" x14ac:dyDescent="0.35">
      <c r="C465" s="7" t="s">
        <v>224</v>
      </c>
      <c r="D465" s="6">
        <f>C458-D464*D458</f>
        <v>-1.3255758637956223</v>
      </c>
    </row>
    <row r="467" spans="1:10" x14ac:dyDescent="0.35">
      <c r="B467" s="1" t="s">
        <v>225</v>
      </c>
    </row>
    <row r="469" spans="1:10" x14ac:dyDescent="0.35">
      <c r="A469" s="1" t="s">
        <v>226</v>
      </c>
    </row>
    <row r="470" spans="1:10" x14ac:dyDescent="0.35">
      <c r="B470" s="1" t="s">
        <v>127</v>
      </c>
      <c r="H470" s="2" t="s">
        <v>128</v>
      </c>
      <c r="I470" s="2" t="s">
        <v>129</v>
      </c>
      <c r="J470" s="2" t="s">
        <v>130</v>
      </c>
    </row>
    <row r="471" spans="1:10" x14ac:dyDescent="0.35">
      <c r="C471" s="1" t="s">
        <v>72</v>
      </c>
      <c r="H471" s="3">
        <f>$D$464*D438+$D$465</f>
        <v>0.50178017025539101</v>
      </c>
      <c r="I471" s="19">
        <f>(H471-$C$458)^2</f>
        <v>4.8496773412744561E-2</v>
      </c>
      <c r="J471" s="20">
        <f>(H471-C438)^2</f>
        <v>1.3877241124599934E-4</v>
      </c>
    </row>
    <row r="472" spans="1:10" x14ac:dyDescent="0.35">
      <c r="C472" s="1" t="s">
        <v>73</v>
      </c>
      <c r="H472" s="3">
        <f t="shared" ref="H472:H490" si="14">$D$464*D439+$D$465</f>
        <v>0.54863545317977591</v>
      </c>
      <c r="I472" s="19">
        <f t="shared" ref="I472:I490" si="15">(H472-$C$458)^2</f>
        <v>3.0055266094181663E-2</v>
      </c>
      <c r="J472" s="20">
        <f t="shared" ref="J472:J490" si="16">(H472-C439)^2</f>
        <v>2.3654073060021749E-3</v>
      </c>
    </row>
    <row r="473" spans="1:10" x14ac:dyDescent="0.35">
      <c r="H473" s="3">
        <f t="shared" si="14"/>
        <v>0.59549073610416059</v>
      </c>
      <c r="I473" s="19">
        <f t="shared" si="15"/>
        <v>1.600459385146713E-2</v>
      </c>
      <c r="J473" s="20">
        <f t="shared" si="16"/>
        <v>7.3086659596312258E-3</v>
      </c>
    </row>
    <row r="474" spans="1:10" x14ac:dyDescent="0.35">
      <c r="H474" s="3">
        <f t="shared" si="14"/>
        <v>0.59549073610416059</v>
      </c>
      <c r="I474" s="19">
        <f t="shared" si="15"/>
        <v>1.600459385146713E-2</v>
      </c>
      <c r="J474" s="20">
        <f t="shared" si="16"/>
        <v>4.2890365154647997E-3</v>
      </c>
    </row>
    <row r="475" spans="1:10" x14ac:dyDescent="0.35">
      <c r="H475" s="3">
        <f t="shared" si="14"/>
        <v>0.61891837756635315</v>
      </c>
      <c r="I475" s="19">
        <f t="shared" si="15"/>
        <v>1.0625820883552919E-2</v>
      </c>
      <c r="J475" s="20">
        <f t="shared" si="16"/>
        <v>4.749742766378403E-3</v>
      </c>
    </row>
    <row r="476" spans="1:10" x14ac:dyDescent="0.35">
      <c r="H476" s="3">
        <f t="shared" si="14"/>
        <v>0.59549073610416059</v>
      </c>
      <c r="I476" s="19">
        <f t="shared" si="15"/>
        <v>1.600459385146713E-2</v>
      </c>
      <c r="J476" s="20">
        <f t="shared" si="16"/>
        <v>3.0148182965532949E-5</v>
      </c>
    </row>
    <row r="477" spans="1:10" x14ac:dyDescent="0.35">
      <c r="C477" s="1" t="s">
        <v>74</v>
      </c>
      <c r="H477" s="3">
        <f t="shared" si="14"/>
        <v>0.66577366049073805</v>
      </c>
      <c r="I477" s="19">
        <f t="shared" si="15"/>
        <v>3.1614012546107885E-3</v>
      </c>
      <c r="J477" s="20">
        <f t="shared" si="16"/>
        <v>2.0952279947213542E-3</v>
      </c>
    </row>
    <row r="478" spans="1:10" x14ac:dyDescent="0.35">
      <c r="C478" s="1" t="s">
        <v>131</v>
      </c>
      <c r="H478" s="3">
        <f t="shared" si="14"/>
        <v>0.66577366049073805</v>
      </c>
      <c r="I478" s="19">
        <f t="shared" si="15"/>
        <v>3.1614012546107885E-3</v>
      </c>
      <c r="J478" s="20">
        <f t="shared" si="16"/>
        <v>2.4880836527706987E-4</v>
      </c>
    </row>
    <row r="479" spans="1:10" x14ac:dyDescent="0.35">
      <c r="C479" s="1" t="s">
        <v>132</v>
      </c>
      <c r="H479" s="3">
        <f t="shared" si="14"/>
        <v>0.68920130195293083</v>
      </c>
      <c r="I479" s="19">
        <f t="shared" si="15"/>
        <v>1.0757545935828172E-3</v>
      </c>
      <c r="J479" s="20">
        <f t="shared" si="16"/>
        <v>8.466395762900787E-5</v>
      </c>
    </row>
    <row r="480" spans="1:10" x14ac:dyDescent="0.35">
      <c r="H480" s="3">
        <f t="shared" si="14"/>
        <v>0.66577366049073805</v>
      </c>
      <c r="I480" s="19">
        <f t="shared" si="15"/>
        <v>3.1614012546107885E-3</v>
      </c>
      <c r="J480" s="20">
        <f t="shared" si="16"/>
        <v>1.9559691063885014E-3</v>
      </c>
    </row>
    <row r="481" spans="2:10" x14ac:dyDescent="0.35">
      <c r="C481" s="7" t="s">
        <v>133</v>
      </c>
      <c r="D481" s="7">
        <f>(I491/J491)*18</f>
        <v>112.26452337896512</v>
      </c>
      <c r="H481" s="3">
        <f t="shared" si="14"/>
        <v>0.61891837756635315</v>
      </c>
      <c r="I481" s="19">
        <f t="shared" si="15"/>
        <v>1.0625820883552919E-2</v>
      </c>
      <c r="J481" s="20">
        <f t="shared" si="16"/>
        <v>1.2339126842491272E-2</v>
      </c>
    </row>
    <row r="482" spans="2:10" x14ac:dyDescent="0.35">
      <c r="C482" s="7" t="s">
        <v>79</v>
      </c>
      <c r="D482" s="7">
        <v>4.41</v>
      </c>
      <c r="H482" s="3">
        <f t="shared" si="14"/>
        <v>0.66577366049073805</v>
      </c>
      <c r="I482" s="19">
        <f t="shared" si="15"/>
        <v>3.1614012546107885E-3</v>
      </c>
      <c r="J482" s="20">
        <f t="shared" si="16"/>
        <v>8.8786030573147004E-3</v>
      </c>
    </row>
    <row r="483" spans="2:10" x14ac:dyDescent="0.35">
      <c r="H483" s="3">
        <f t="shared" si="14"/>
        <v>0.68920130195293083</v>
      </c>
      <c r="I483" s="19">
        <f t="shared" si="15"/>
        <v>1.0757545935828172E-3</v>
      </c>
      <c r="J483" s="20">
        <f t="shared" si="16"/>
        <v>1.0160377527984233E-2</v>
      </c>
    </row>
    <row r="484" spans="2:10" x14ac:dyDescent="0.35">
      <c r="H484" s="3">
        <f t="shared" si="14"/>
        <v>0.75948422633950807</v>
      </c>
      <c r="I484" s="19">
        <f t="shared" si="15"/>
        <v>1.4050672242714726E-3</v>
      </c>
      <c r="J484" s="20">
        <f t="shared" si="16"/>
        <v>3.6621588617278826E-3</v>
      </c>
    </row>
    <row r="485" spans="2:10" x14ac:dyDescent="0.35">
      <c r="C485" s="1" t="s">
        <v>134</v>
      </c>
      <c r="H485" s="3">
        <f t="shared" si="14"/>
        <v>0.85319479218827832</v>
      </c>
      <c r="I485" s="19">
        <f t="shared" si="15"/>
        <v>1.721207349732554E-2</v>
      </c>
      <c r="J485" s="20">
        <f t="shared" si="16"/>
        <v>7.1851916582958534E-4</v>
      </c>
    </row>
    <row r="486" spans="2:10" x14ac:dyDescent="0.35">
      <c r="H486" s="3">
        <f t="shared" si="14"/>
        <v>0.900050075112663</v>
      </c>
      <c r="I486" s="19">
        <f t="shared" si="15"/>
        <v>3.1701829247624942E-2</v>
      </c>
      <c r="J486" s="20">
        <f t="shared" si="16"/>
        <v>9.0300701427668817E-4</v>
      </c>
    </row>
    <row r="487" spans="2:10" x14ac:dyDescent="0.35">
      <c r="H487" s="3">
        <f t="shared" si="14"/>
        <v>0.87662243365047043</v>
      </c>
      <c r="I487" s="19">
        <f t="shared" si="15"/>
        <v>2.3908096987994138E-2</v>
      </c>
      <c r="J487" s="20">
        <f t="shared" si="16"/>
        <v>1.7895928143606615E-4</v>
      </c>
    </row>
    <row r="488" spans="2:10" x14ac:dyDescent="0.35">
      <c r="H488" s="3">
        <f t="shared" si="14"/>
        <v>1.0171882824236254</v>
      </c>
      <c r="I488" s="19">
        <f t="shared" si="15"/>
        <v>8.7136122080210016E-2</v>
      </c>
      <c r="J488" s="20">
        <f t="shared" si="16"/>
        <v>9.4455622404543572E-3</v>
      </c>
    </row>
    <row r="489" spans="2:10" x14ac:dyDescent="0.35">
      <c r="H489" s="3">
        <f t="shared" si="14"/>
        <v>0.92347771657485556</v>
      </c>
      <c r="I489" s="19">
        <f t="shared" si="15"/>
        <v>4.0593270276217834E-2</v>
      </c>
      <c r="J489" s="20">
        <f t="shared" si="16"/>
        <v>7.0343151808368936E-4</v>
      </c>
    </row>
    <row r="490" spans="2:10" x14ac:dyDescent="0.35">
      <c r="H490" s="3">
        <f t="shared" si="14"/>
        <v>0.9937606409614328</v>
      </c>
      <c r="I490" s="19">
        <f t="shared" si="15"/>
        <v>7.38538459757688E-2</v>
      </c>
      <c r="J490" s="20">
        <f t="shared" si="16"/>
        <v>3.8929601212150274E-5</v>
      </c>
    </row>
    <row r="491" spans="2:10" x14ac:dyDescent="0.35">
      <c r="G491" s="1" t="s">
        <v>22</v>
      </c>
      <c r="I491" s="4">
        <f>SUM(I471:I490)</f>
        <v>0.438424882323455</v>
      </c>
      <c r="J491" s="21">
        <f>SUM(J471:J490)</f>
        <v>7.029511767651471E-2</v>
      </c>
    </row>
    <row r="495" spans="2:10" x14ac:dyDescent="0.35">
      <c r="B495" s="1" t="s">
        <v>135</v>
      </c>
    </row>
    <row r="499" spans="1:10" x14ac:dyDescent="0.35">
      <c r="C499" s="7" t="s">
        <v>136</v>
      </c>
      <c r="D499" s="7">
        <f>SQRT(J491/18)</f>
        <v>6.2492274045372428E-2</v>
      </c>
      <c r="F499" s="1" t="s">
        <v>227</v>
      </c>
    </row>
    <row r="502" spans="1:10" x14ac:dyDescent="0.35">
      <c r="B502" s="1" t="s">
        <v>138</v>
      </c>
    </row>
    <row r="503" spans="1:10" x14ac:dyDescent="0.35">
      <c r="I503" s="7" t="s">
        <v>139</v>
      </c>
      <c r="J503" s="22">
        <f>VAR(C438:C457)</f>
        <v>2.6774736842105278E-2</v>
      </c>
    </row>
    <row r="506" spans="1:10" x14ac:dyDescent="0.35">
      <c r="C506" s="7" t="s">
        <v>140</v>
      </c>
      <c r="D506" s="6">
        <f>1-(D499^2/J503)</f>
        <v>0.85414294308877847</v>
      </c>
      <c r="F506" s="1" t="s">
        <v>228</v>
      </c>
    </row>
    <row r="508" spans="1:10" x14ac:dyDescent="0.35">
      <c r="A508" s="1" t="s">
        <v>229</v>
      </c>
    </row>
    <row r="509" spans="1:10" x14ac:dyDescent="0.35">
      <c r="D509" s="1" t="s">
        <v>225</v>
      </c>
    </row>
    <row r="511" spans="1:10" x14ac:dyDescent="0.35">
      <c r="G511" s="1" t="s">
        <v>230</v>
      </c>
    </row>
    <row r="512" spans="1:10" x14ac:dyDescent="0.35">
      <c r="G512" s="2" t="s">
        <v>231</v>
      </c>
      <c r="H512" s="7">
        <f>D464*D458+D465</f>
        <v>0.72199999999999998</v>
      </c>
    </row>
    <row r="513" spans="1:8" x14ac:dyDescent="0.35">
      <c r="G513" s="1" t="s">
        <v>146</v>
      </c>
    </row>
    <row r="514" spans="1:8" x14ac:dyDescent="0.35">
      <c r="G514" s="1" t="s">
        <v>232</v>
      </c>
    </row>
    <row r="515" spans="1:8" x14ac:dyDescent="0.35">
      <c r="G515" s="6">
        <f>H512*H85</f>
        <v>713.91359999999997</v>
      </c>
    </row>
    <row r="516" spans="1:8" x14ac:dyDescent="0.35">
      <c r="A516" s="1" t="s">
        <v>233</v>
      </c>
    </row>
    <row r="518" spans="1:8" x14ac:dyDescent="0.35">
      <c r="G518" s="1" t="s">
        <v>234</v>
      </c>
    </row>
    <row r="519" spans="1:8" x14ac:dyDescent="0.35">
      <c r="D519" s="1" t="s">
        <v>150</v>
      </c>
      <c r="E519" s="1">
        <f>STDEV(D438:D457)</f>
        <v>6.4839883762355638E-2</v>
      </c>
      <c r="G519" s="2" t="s">
        <v>235</v>
      </c>
      <c r="H519" s="7">
        <f>D464*(D458-E519)+D465</f>
        <v>0.57009544507652965</v>
      </c>
    </row>
    <row r="520" spans="1:8" x14ac:dyDescent="0.35">
      <c r="G520" s="1" t="s">
        <v>146</v>
      </c>
    </row>
    <row r="521" spans="1:8" x14ac:dyDescent="0.35">
      <c r="G521" s="1" t="s">
        <v>236</v>
      </c>
    </row>
    <row r="522" spans="1:8" x14ac:dyDescent="0.35">
      <c r="G522" s="6">
        <f>H519*H85</f>
        <v>563.71037609167252</v>
      </c>
    </row>
    <row r="523" spans="1:8" x14ac:dyDescent="0.35">
      <c r="A523" s="23" t="s">
        <v>237</v>
      </c>
    </row>
    <row r="524" spans="1:8" x14ac:dyDescent="0.35">
      <c r="A524" s="23"/>
    </row>
    <row r="525" spans="1:8" x14ac:dyDescent="0.35">
      <c r="A525" s="23"/>
    </row>
    <row r="526" spans="1:8" x14ac:dyDescent="0.35">
      <c r="A526" s="23"/>
    </row>
    <row r="528" spans="1:8" x14ac:dyDescent="0.35">
      <c r="G528" s="1" t="s">
        <v>238</v>
      </c>
    </row>
    <row r="529" spans="1:8" x14ac:dyDescent="0.35">
      <c r="G529" s="2" t="s">
        <v>239</v>
      </c>
      <c r="H529" s="7">
        <f>D464*(D458+E519)+D465</f>
        <v>0.8739045549234703</v>
      </c>
    </row>
    <row r="530" spans="1:8" x14ac:dyDescent="0.35">
      <c r="G530" s="1" t="s">
        <v>146</v>
      </c>
    </row>
    <row r="531" spans="1:8" x14ac:dyDescent="0.35">
      <c r="G531" s="1" t="s">
        <v>240</v>
      </c>
    </row>
    <row r="532" spans="1:8" x14ac:dyDescent="0.35">
      <c r="G532" s="6">
        <f>H529*H85</f>
        <v>864.11682390832743</v>
      </c>
    </row>
    <row r="533" spans="1:8" x14ac:dyDescent="0.35">
      <c r="A533" s="23" t="s">
        <v>241</v>
      </c>
    </row>
    <row r="535" spans="1:8" x14ac:dyDescent="0.35">
      <c r="G535" s="1" t="s">
        <v>242</v>
      </c>
    </row>
    <row r="536" spans="1:8" x14ac:dyDescent="0.35">
      <c r="D536" s="1" t="s">
        <v>243</v>
      </c>
      <c r="E536" s="4">
        <f>MIN(D438:D457)</f>
        <v>0.78</v>
      </c>
      <c r="G536" s="7" t="s">
        <v>244</v>
      </c>
      <c r="H536" s="7">
        <f>D464*(E536-E519)+D465</f>
        <v>0.34987561533192069</v>
      </c>
    </row>
    <row r="537" spans="1:8" x14ac:dyDescent="0.35">
      <c r="G537" s="1" t="s">
        <v>146</v>
      </c>
    </row>
    <row r="538" spans="1:8" x14ac:dyDescent="0.35">
      <c r="G538" s="1" t="s">
        <v>245</v>
      </c>
    </row>
    <row r="539" spans="1:8" x14ac:dyDescent="0.35">
      <c r="G539" s="6">
        <f>H536*H85</f>
        <v>345.95700844020314</v>
      </c>
    </row>
    <row r="540" spans="1:8" x14ac:dyDescent="0.35">
      <c r="A540" s="24" t="s">
        <v>246</v>
      </c>
    </row>
    <row r="542" spans="1:8" x14ac:dyDescent="0.35">
      <c r="G542" s="1" t="s">
        <v>247</v>
      </c>
    </row>
    <row r="543" spans="1:8" x14ac:dyDescent="0.35">
      <c r="D543" s="1" t="s">
        <v>248</v>
      </c>
      <c r="E543" s="4">
        <f>MAX(D438:D457)</f>
        <v>1</v>
      </c>
      <c r="G543" s="7" t="s">
        <v>249</v>
      </c>
      <c r="H543" s="7">
        <f>D464*(E543+E519)+D465</f>
        <v>1.1690928373470957</v>
      </c>
    </row>
    <row r="544" spans="1:8" x14ac:dyDescent="0.35">
      <c r="G544" s="1" t="s">
        <v>146</v>
      </c>
    </row>
    <row r="545" spans="1:8" x14ac:dyDescent="0.35">
      <c r="G545" s="1" t="s">
        <v>250</v>
      </c>
    </row>
    <row r="546" spans="1:8" x14ac:dyDescent="0.35">
      <c r="G546" s="6">
        <f>H543*H85</f>
        <v>1155.9989975688081</v>
      </c>
    </row>
    <row r="547" spans="1:8" x14ac:dyDescent="0.35">
      <c r="A547" s="24" t="s">
        <v>251</v>
      </c>
    </row>
    <row r="549" spans="1:8" x14ac:dyDescent="0.35">
      <c r="G549" s="1" t="s">
        <v>168</v>
      </c>
    </row>
    <row r="552" spans="1:8" x14ac:dyDescent="0.35">
      <c r="G552" s="1" t="s">
        <v>132</v>
      </c>
    </row>
    <row r="554" spans="1:8" x14ac:dyDescent="0.35">
      <c r="G554" s="1" t="s">
        <v>169</v>
      </c>
      <c r="H554" s="25">
        <f>(1/19)*C587</f>
        <v>1.1052631578947366E-2</v>
      </c>
    </row>
    <row r="557" spans="1:8" x14ac:dyDescent="0.35">
      <c r="G557" s="1" t="s">
        <v>170</v>
      </c>
    </row>
    <row r="558" spans="1:8" x14ac:dyDescent="0.35">
      <c r="G558" s="1" t="s">
        <v>171</v>
      </c>
    </row>
    <row r="561" spans="2:8" x14ac:dyDescent="0.35">
      <c r="G561" s="7" t="s">
        <v>172</v>
      </c>
      <c r="H561" s="8">
        <f>D457+H554</f>
        <v>1.0010526315789474</v>
      </c>
    </row>
    <row r="562" spans="2:8" x14ac:dyDescent="0.35">
      <c r="G562" s="7" t="s">
        <v>173</v>
      </c>
      <c r="H562" s="7">
        <f>D457+2*H554</f>
        <v>1.0121052631578946</v>
      </c>
    </row>
    <row r="564" spans="2:8" x14ac:dyDescent="0.35">
      <c r="G564" s="7" t="s">
        <v>174</v>
      </c>
      <c r="H564" s="7">
        <f>D464*H561+D465</f>
        <v>1.0196543499459616</v>
      </c>
    </row>
    <row r="565" spans="2:8" x14ac:dyDescent="0.35">
      <c r="G565" s="7" t="s">
        <v>175</v>
      </c>
      <c r="H565" s="7">
        <f>D464*H562+D465</f>
        <v>1.0455480589304895</v>
      </c>
    </row>
    <row r="566" spans="2:8" x14ac:dyDescent="0.35">
      <c r="B566" s="2" t="s">
        <v>6</v>
      </c>
    </row>
    <row r="567" spans="2:8" x14ac:dyDescent="0.35">
      <c r="B567" s="3">
        <v>0.78</v>
      </c>
      <c r="C567" s="6">
        <f>B568-B567</f>
        <v>2.0000000000000018E-2</v>
      </c>
      <c r="G567" s="1" t="s">
        <v>146</v>
      </c>
    </row>
    <row r="568" spans="2:8" x14ac:dyDescent="0.35">
      <c r="B568" s="3">
        <v>0.8</v>
      </c>
      <c r="C568" s="6">
        <f t="shared" ref="C568:C585" si="17">B569-B568</f>
        <v>1.9999999999999907E-2</v>
      </c>
      <c r="G568" s="1" t="s">
        <v>176</v>
      </c>
    </row>
    <row r="569" spans="2:8" x14ac:dyDescent="0.35">
      <c r="B569" s="3">
        <v>0.82</v>
      </c>
      <c r="C569" s="6">
        <f t="shared" si="17"/>
        <v>0</v>
      </c>
      <c r="G569" s="1" t="s">
        <v>177</v>
      </c>
    </row>
    <row r="570" spans="2:8" x14ac:dyDescent="0.35">
      <c r="B570" s="3">
        <v>0.82</v>
      </c>
      <c r="C570" s="6">
        <f t="shared" si="17"/>
        <v>1.0000000000000009E-2</v>
      </c>
    </row>
    <row r="571" spans="2:8" x14ac:dyDescent="0.35">
      <c r="B571" s="3">
        <v>0.83</v>
      </c>
      <c r="C571" s="6">
        <f t="shared" si="17"/>
        <v>-1.0000000000000009E-2</v>
      </c>
      <c r="G571" s="6">
        <f>H564*H85</f>
        <v>1008.2342212265668</v>
      </c>
    </row>
    <row r="572" spans="2:8" x14ac:dyDescent="0.35">
      <c r="B572" s="3">
        <v>0.82</v>
      </c>
      <c r="C572" s="6">
        <f t="shared" si="17"/>
        <v>3.0000000000000027E-2</v>
      </c>
      <c r="G572" s="6">
        <f>H565*H85</f>
        <v>1033.8379206704681</v>
      </c>
    </row>
    <row r="573" spans="2:8" x14ac:dyDescent="0.35">
      <c r="B573" s="3">
        <v>0.85</v>
      </c>
      <c r="C573" s="6">
        <f t="shared" si="17"/>
        <v>0</v>
      </c>
    </row>
    <row r="574" spans="2:8" x14ac:dyDescent="0.35">
      <c r="B574" s="3">
        <v>0.85</v>
      </c>
      <c r="C574" s="6">
        <f t="shared" si="17"/>
        <v>1.0000000000000009E-2</v>
      </c>
    </row>
    <row r="575" spans="2:8" x14ac:dyDescent="0.35">
      <c r="B575" s="3">
        <v>0.86</v>
      </c>
      <c r="C575" s="6">
        <f t="shared" si="17"/>
        <v>-1.0000000000000009E-2</v>
      </c>
    </row>
    <row r="576" spans="2:8" x14ac:dyDescent="0.35">
      <c r="B576" s="3">
        <v>0.85</v>
      </c>
      <c r="C576" s="6">
        <f t="shared" si="17"/>
        <v>-2.0000000000000018E-2</v>
      </c>
    </row>
    <row r="577" spans="1:3" x14ac:dyDescent="0.35">
      <c r="B577" s="3">
        <v>0.83</v>
      </c>
      <c r="C577" s="6">
        <f t="shared" si="17"/>
        <v>2.0000000000000018E-2</v>
      </c>
    </row>
    <row r="578" spans="1:3" x14ac:dyDescent="0.35">
      <c r="B578" s="3">
        <v>0.85</v>
      </c>
      <c r="C578" s="6">
        <f t="shared" si="17"/>
        <v>1.0000000000000009E-2</v>
      </c>
    </row>
    <row r="579" spans="1:3" x14ac:dyDescent="0.35">
      <c r="B579" s="3">
        <v>0.86</v>
      </c>
      <c r="C579" s="6">
        <f t="shared" si="17"/>
        <v>3.0000000000000027E-2</v>
      </c>
    </row>
    <row r="580" spans="1:3" x14ac:dyDescent="0.35">
      <c r="B580" s="3">
        <v>0.89</v>
      </c>
      <c r="C580" s="6">
        <f t="shared" si="17"/>
        <v>4.0000000000000036E-2</v>
      </c>
    </row>
    <row r="581" spans="1:3" x14ac:dyDescent="0.35">
      <c r="B581" s="3">
        <v>0.93</v>
      </c>
      <c r="C581" s="6">
        <f t="shared" si="17"/>
        <v>1.9999999999999907E-2</v>
      </c>
    </row>
    <row r="582" spans="1:3" x14ac:dyDescent="0.35">
      <c r="B582" s="3">
        <v>0.95</v>
      </c>
      <c r="C582" s="6">
        <f t="shared" si="17"/>
        <v>-1.0000000000000009E-2</v>
      </c>
    </row>
    <row r="583" spans="1:3" x14ac:dyDescent="0.35">
      <c r="B583" s="3">
        <v>0.94</v>
      </c>
      <c r="C583" s="6">
        <f t="shared" si="17"/>
        <v>6.0000000000000053E-2</v>
      </c>
    </row>
    <row r="584" spans="1:3" x14ac:dyDescent="0.35">
      <c r="B584" s="3">
        <v>1</v>
      </c>
      <c r="C584" s="6">
        <f t="shared" si="17"/>
        <v>-4.0000000000000036E-2</v>
      </c>
    </row>
    <row r="585" spans="1:3" x14ac:dyDescent="0.35">
      <c r="B585" s="3">
        <v>0.96</v>
      </c>
      <c r="C585" s="6">
        <f t="shared" si="17"/>
        <v>3.0000000000000027E-2</v>
      </c>
    </row>
    <row r="586" spans="1:3" x14ac:dyDescent="0.35">
      <c r="B586" s="3">
        <v>0.99</v>
      </c>
      <c r="C586" s="7"/>
    </row>
    <row r="587" spans="1:3" x14ac:dyDescent="0.35">
      <c r="B587" s="1" t="s">
        <v>22</v>
      </c>
      <c r="C587" s="4">
        <f>SUM(C567:C585)</f>
        <v>0.20999999999999996</v>
      </c>
    </row>
    <row r="590" spans="1:3" ht="15.5" x14ac:dyDescent="0.35">
      <c r="A590" s="26" t="s">
        <v>252</v>
      </c>
    </row>
  </sheetData>
  <pageMargins left="0.7" right="0.7" top="0.75" bottom="0.75" header="0.3" footer="0.3"/>
  <pageSetup paperSize="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19DC9-03A6-4078-85BC-9DD60BACEF41}">
  <dimension ref="A2:I118"/>
  <sheetViews>
    <sheetView workbookViewId="0">
      <selection activeCell="K23" sqref="K23"/>
    </sheetView>
  </sheetViews>
  <sheetFormatPr defaultRowHeight="14.5" x14ac:dyDescent="0.35"/>
  <cols>
    <col min="1" max="2" width="8.7265625" style="1"/>
    <col min="3" max="4" width="9.7265625" style="1" bestFit="1" customWidth="1"/>
    <col min="5" max="5" width="15.1796875" style="1" customWidth="1"/>
    <col min="6" max="13" width="8.7265625" style="1"/>
    <col min="14" max="14" width="18.54296875" style="1" customWidth="1"/>
    <col min="15" max="16" width="8.7265625" style="1"/>
    <col min="17" max="17" width="11.26953125" style="1" customWidth="1"/>
    <col min="18" max="18" width="8.7265625" style="1"/>
    <col min="19" max="19" width="9.54296875" style="1" bestFit="1" customWidth="1"/>
    <col min="20" max="23" width="8.7265625" style="1"/>
    <col min="24" max="24" width="18.1796875" style="1" customWidth="1"/>
    <col min="25" max="16384" width="8.7265625" style="1"/>
  </cols>
  <sheetData>
    <row r="2" spans="1:6" x14ac:dyDescent="0.35">
      <c r="A2" s="1" t="s">
        <v>0</v>
      </c>
    </row>
    <row r="3" spans="1:6" x14ac:dyDescent="0.35">
      <c r="A3" s="1" t="s">
        <v>1</v>
      </c>
    </row>
    <row r="4" spans="1:6" x14ac:dyDescent="0.35">
      <c r="A4" s="1" t="s">
        <v>2</v>
      </c>
    </row>
    <row r="5" spans="1:6" x14ac:dyDescent="0.35">
      <c r="A5" s="1" t="s">
        <v>3</v>
      </c>
    </row>
    <row r="7" spans="1:6" x14ac:dyDescent="0.35">
      <c r="C7" s="2" t="s">
        <v>4</v>
      </c>
      <c r="D7" s="2" t="s">
        <v>5</v>
      </c>
      <c r="E7" s="2" t="s">
        <v>6</v>
      </c>
    </row>
    <row r="8" spans="1:6" x14ac:dyDescent="0.35">
      <c r="C8" s="3">
        <v>7.0000000000000007E-2</v>
      </c>
      <c r="D8" s="2">
        <v>0.16</v>
      </c>
      <c r="E8" s="2">
        <v>0.14000000000000001</v>
      </c>
      <c r="F8" s="4"/>
    </row>
    <row r="9" spans="1:6" x14ac:dyDescent="0.35">
      <c r="C9" s="3">
        <v>7.4999999999999997E-2</v>
      </c>
      <c r="D9" s="2">
        <v>0.13</v>
      </c>
      <c r="E9" s="2">
        <v>0.13</v>
      </c>
      <c r="F9" s="4"/>
    </row>
    <row r="10" spans="1:6" x14ac:dyDescent="0.35">
      <c r="C10" s="3">
        <v>0.1</v>
      </c>
      <c r="D10" s="2">
        <v>0.05</v>
      </c>
      <c r="E10" s="2">
        <v>0.09</v>
      </c>
      <c r="F10" s="4"/>
    </row>
    <row r="11" spans="1:6" x14ac:dyDescent="0.35">
      <c r="C11" s="3">
        <v>0.05</v>
      </c>
      <c r="D11" s="2">
        <v>0.21</v>
      </c>
      <c r="E11" s="2">
        <v>7.0000000000000007E-2</v>
      </c>
      <c r="F11" s="4"/>
    </row>
    <row r="12" spans="1:6" x14ac:dyDescent="0.35">
      <c r="C12" s="3">
        <v>0.12</v>
      </c>
      <c r="D12" s="2">
        <v>0.14000000000000001</v>
      </c>
      <c r="E12" s="2">
        <v>0.16</v>
      </c>
      <c r="F12" s="4"/>
    </row>
    <row r="13" spans="1:6" x14ac:dyDescent="0.35">
      <c r="C13" s="3">
        <v>0.06</v>
      </c>
      <c r="D13" s="2">
        <v>0.23</v>
      </c>
      <c r="E13" s="2">
        <v>0.18</v>
      </c>
      <c r="F13" s="4"/>
    </row>
    <row r="14" spans="1:6" x14ac:dyDescent="0.35">
      <c r="C14" s="3">
        <v>0.2</v>
      </c>
      <c r="D14" s="2">
        <v>0.24</v>
      </c>
      <c r="E14" s="2">
        <v>0.22</v>
      </c>
      <c r="F14" s="4"/>
    </row>
    <row r="15" spans="1:6" x14ac:dyDescent="0.35">
      <c r="C15" s="3">
        <v>0.15</v>
      </c>
      <c r="D15" s="2">
        <v>0.15</v>
      </c>
      <c r="E15" s="2">
        <v>0.27</v>
      </c>
      <c r="F15" s="4"/>
    </row>
    <row r="16" spans="1:6" x14ac:dyDescent="0.35">
      <c r="C16" s="3">
        <v>0.09</v>
      </c>
      <c r="D16" s="2">
        <v>0.08</v>
      </c>
      <c r="E16" s="2">
        <v>0.24</v>
      </c>
      <c r="F16" s="4"/>
    </row>
    <row r="17" spans="1:6" x14ac:dyDescent="0.35">
      <c r="C17" s="3">
        <v>0.14000000000000001</v>
      </c>
      <c r="D17" s="2">
        <v>0.03</v>
      </c>
      <c r="E17" s="2">
        <v>0.12</v>
      </c>
      <c r="F17" s="4"/>
    </row>
    <row r="18" spans="1:6" x14ac:dyDescent="0.35">
      <c r="B18" s="1" t="s">
        <v>7</v>
      </c>
      <c r="C18" s="4">
        <f>AVERAGE(C8:C17)</f>
        <v>0.10550000000000001</v>
      </c>
      <c r="D18" s="4">
        <f>AVERAGE(D8:D17)</f>
        <v>0.14200000000000002</v>
      </c>
      <c r="E18" s="4">
        <f>AVERAGE(E8:E17)</f>
        <v>0.16200000000000001</v>
      </c>
    </row>
    <row r="20" spans="1:6" x14ac:dyDescent="0.35">
      <c r="A20" s="5" t="s">
        <v>8</v>
      </c>
      <c r="B20" s="5"/>
      <c r="C20" s="5"/>
      <c r="D20" s="5"/>
      <c r="E20" s="6">
        <f>SUM(C18:E18)</f>
        <v>0.40950000000000003</v>
      </c>
    </row>
    <row r="21" spans="1:6" x14ac:dyDescent="0.35">
      <c r="A21" s="5" t="s">
        <v>9</v>
      </c>
      <c r="B21" s="5"/>
      <c r="C21" s="5"/>
      <c r="D21" s="5"/>
      <c r="E21" s="7">
        <v>1.96</v>
      </c>
    </row>
    <row r="24" spans="1:6" x14ac:dyDescent="0.35">
      <c r="A24" s="1" t="s">
        <v>10</v>
      </c>
    </row>
    <row r="28" spans="1:6" x14ac:dyDescent="0.35">
      <c r="B28" s="7" t="s">
        <v>11</v>
      </c>
      <c r="C28" s="8" t="s">
        <v>12</v>
      </c>
      <c r="D28" s="7" t="s">
        <v>13</v>
      </c>
    </row>
    <row r="29" spans="1:6" x14ac:dyDescent="0.35">
      <c r="B29" s="8">
        <f>C18/$E$20</f>
        <v>0.25763125763125766</v>
      </c>
      <c r="C29" s="8">
        <f t="shared" ref="C29:D29" si="0">D18/$E$20</f>
        <v>0.34676434676434675</v>
      </c>
      <c r="D29" s="8">
        <f t="shared" si="0"/>
        <v>0.39560439560439559</v>
      </c>
    </row>
    <row r="30" spans="1:6" x14ac:dyDescent="0.35">
      <c r="B30" s="8"/>
      <c r="C30" s="8"/>
      <c r="D30" s="8"/>
    </row>
    <row r="31" spans="1:6" x14ac:dyDescent="0.35">
      <c r="B31" s="8"/>
      <c r="C31" s="8"/>
      <c r="D31" s="8"/>
    </row>
    <row r="32" spans="1:6" x14ac:dyDescent="0.35">
      <c r="B32" s="8"/>
      <c r="C32" s="8"/>
      <c r="D32" s="8"/>
    </row>
    <row r="35" spans="1:9" x14ac:dyDescent="0.35">
      <c r="A35" s="1" t="s">
        <v>14</v>
      </c>
    </row>
    <row r="36" spans="1:9" x14ac:dyDescent="0.35">
      <c r="B36" s="1" t="s">
        <v>15</v>
      </c>
    </row>
    <row r="38" spans="1:9" x14ac:dyDescent="0.35">
      <c r="I38" s="1" t="s">
        <v>16</v>
      </c>
    </row>
    <row r="40" spans="1:9" x14ac:dyDescent="0.35">
      <c r="C40" s="2" t="s">
        <v>17</v>
      </c>
      <c r="D40" s="2" t="s">
        <v>18</v>
      </c>
      <c r="E40" s="2" t="s">
        <v>19</v>
      </c>
    </row>
    <row r="41" spans="1:9" x14ac:dyDescent="0.35">
      <c r="C41" s="8">
        <f>C8^2</f>
        <v>4.9000000000000007E-3</v>
      </c>
      <c r="D41" s="7">
        <f>D8^2</f>
        <v>2.5600000000000001E-2</v>
      </c>
      <c r="E41" s="7">
        <f>E8^2</f>
        <v>1.9600000000000003E-2</v>
      </c>
    </row>
    <row r="42" spans="1:9" x14ac:dyDescent="0.35">
      <c r="C42" s="8">
        <f t="shared" ref="C42:E50" si="1">C9^2</f>
        <v>5.6249999999999998E-3</v>
      </c>
      <c r="D42" s="7">
        <f t="shared" si="1"/>
        <v>1.6900000000000002E-2</v>
      </c>
      <c r="E42" s="7">
        <f t="shared" si="1"/>
        <v>1.6900000000000002E-2</v>
      </c>
      <c r="I42" s="1" t="s">
        <v>20</v>
      </c>
    </row>
    <row r="43" spans="1:9" x14ac:dyDescent="0.35">
      <c r="C43" s="8">
        <f t="shared" si="1"/>
        <v>1.0000000000000002E-2</v>
      </c>
      <c r="D43" s="7">
        <f t="shared" si="1"/>
        <v>2.5000000000000005E-3</v>
      </c>
      <c r="E43" s="7">
        <f t="shared" si="1"/>
        <v>8.0999999999999996E-3</v>
      </c>
    </row>
    <row r="44" spans="1:9" x14ac:dyDescent="0.35">
      <c r="C44" s="8">
        <f t="shared" si="1"/>
        <v>2.5000000000000005E-3</v>
      </c>
      <c r="D44" s="7">
        <f t="shared" si="1"/>
        <v>4.4099999999999993E-2</v>
      </c>
      <c r="E44" s="7">
        <f t="shared" si="1"/>
        <v>4.9000000000000007E-3</v>
      </c>
    </row>
    <row r="45" spans="1:9" x14ac:dyDescent="0.35">
      <c r="C45" s="8">
        <f t="shared" si="1"/>
        <v>1.44E-2</v>
      </c>
      <c r="D45" s="7">
        <f t="shared" si="1"/>
        <v>1.9600000000000003E-2</v>
      </c>
      <c r="E45" s="7">
        <f t="shared" si="1"/>
        <v>2.5600000000000001E-2</v>
      </c>
    </row>
    <row r="46" spans="1:9" x14ac:dyDescent="0.35">
      <c r="C46" s="8">
        <f t="shared" si="1"/>
        <v>3.5999999999999999E-3</v>
      </c>
      <c r="D46" s="7">
        <f t="shared" si="1"/>
        <v>5.2900000000000003E-2</v>
      </c>
      <c r="E46" s="7">
        <f t="shared" si="1"/>
        <v>3.2399999999999998E-2</v>
      </c>
    </row>
    <row r="47" spans="1:9" x14ac:dyDescent="0.35">
      <c r="C47" s="8">
        <f t="shared" si="1"/>
        <v>4.0000000000000008E-2</v>
      </c>
      <c r="D47" s="7">
        <f t="shared" si="1"/>
        <v>5.7599999999999998E-2</v>
      </c>
      <c r="E47" s="7">
        <f t="shared" si="1"/>
        <v>4.8399999999999999E-2</v>
      </c>
    </row>
    <row r="48" spans="1:9" x14ac:dyDescent="0.35">
      <c r="C48" s="8">
        <f t="shared" si="1"/>
        <v>2.2499999999999999E-2</v>
      </c>
      <c r="D48" s="7">
        <f t="shared" si="1"/>
        <v>2.2499999999999999E-2</v>
      </c>
      <c r="E48" s="7">
        <f t="shared" si="1"/>
        <v>7.2900000000000006E-2</v>
      </c>
    </row>
    <row r="49" spans="1:8" x14ac:dyDescent="0.35">
      <c r="C49" s="8">
        <f t="shared" si="1"/>
        <v>8.0999999999999996E-3</v>
      </c>
      <c r="D49" s="7">
        <f t="shared" si="1"/>
        <v>6.4000000000000003E-3</v>
      </c>
      <c r="E49" s="7">
        <f t="shared" si="1"/>
        <v>5.7599999999999998E-2</v>
      </c>
    </row>
    <row r="50" spans="1:8" x14ac:dyDescent="0.35">
      <c r="C50" s="8">
        <f t="shared" si="1"/>
        <v>1.9600000000000003E-2</v>
      </c>
      <c r="D50" s="7">
        <f t="shared" si="1"/>
        <v>8.9999999999999998E-4</v>
      </c>
      <c r="E50" s="7">
        <f t="shared" si="1"/>
        <v>1.44E-2</v>
      </c>
    </row>
    <row r="51" spans="1:8" x14ac:dyDescent="0.35">
      <c r="B51" s="7" t="s">
        <v>7</v>
      </c>
      <c r="C51" s="8">
        <f>AVERAGE(C41:C50)</f>
        <v>1.31225E-2</v>
      </c>
      <c r="D51" s="8">
        <f>AVERAGE(D41:D50)</f>
        <v>2.4899999999999999E-2</v>
      </c>
      <c r="E51" s="8">
        <f>AVERAGE(E41:E50)</f>
        <v>3.0080000000000003E-2</v>
      </c>
    </row>
    <row r="52" spans="1:8" x14ac:dyDescent="0.35">
      <c r="B52" s="7" t="s">
        <v>21</v>
      </c>
      <c r="C52" s="9">
        <f>SQRT(C51-C18^2)</f>
        <v>4.4634627812943591E-2</v>
      </c>
      <c r="D52" s="9">
        <f>SQRT(D51-D18^2)</f>
        <v>6.8818602136340973E-2</v>
      </c>
      <c r="E52" s="9">
        <f>SQRT(E51-E18^2)</f>
        <v>6.1935450268808111E-2</v>
      </c>
      <c r="G52" s="1" t="s">
        <v>22</v>
      </c>
      <c r="H52" s="10">
        <f>C52+D52+E52</f>
        <v>0.17538868021809267</v>
      </c>
    </row>
    <row r="53" spans="1:8" x14ac:dyDescent="0.35">
      <c r="B53" s="7" t="s">
        <v>23</v>
      </c>
      <c r="C53" s="7">
        <f>C52/H52</f>
        <v>0.25448978666947736</v>
      </c>
      <c r="D53" s="7">
        <f>D52/H52</f>
        <v>0.39237767255427364</v>
      </c>
      <c r="E53" s="7">
        <f>E52/H52</f>
        <v>0.353132540776249</v>
      </c>
    </row>
    <row r="54" spans="1:8" x14ac:dyDescent="0.35">
      <c r="B54" s="7" t="s">
        <v>24</v>
      </c>
      <c r="C54" s="7">
        <f>1-C53</f>
        <v>0.7455102133305227</v>
      </c>
      <c r="D54" s="7">
        <f t="shared" ref="D54:E54" si="2">1-D53</f>
        <v>0.60762232744572642</v>
      </c>
      <c r="E54" s="7">
        <f t="shared" si="2"/>
        <v>0.646867459223751</v>
      </c>
      <c r="G54" s="1" t="s">
        <v>22</v>
      </c>
      <c r="H54" s="1">
        <f>C54+D54+E54</f>
        <v>2</v>
      </c>
    </row>
    <row r="56" spans="1:8" x14ac:dyDescent="0.35">
      <c r="B56" s="7" t="s">
        <v>25</v>
      </c>
      <c r="C56" s="8">
        <f>C54/H54</f>
        <v>0.37275510666526135</v>
      </c>
      <c r="D56" s="8">
        <f>D54/H54</f>
        <v>0.30381116372286321</v>
      </c>
      <c r="E56" s="8">
        <f>E54/H54</f>
        <v>0.3234337296118755</v>
      </c>
    </row>
    <row r="59" spans="1:8" x14ac:dyDescent="0.35">
      <c r="A59" s="1" t="s">
        <v>26</v>
      </c>
    </row>
    <row r="60" spans="1:8" x14ac:dyDescent="0.35">
      <c r="B60" s="7" t="s">
        <v>11</v>
      </c>
      <c r="C60" s="7" t="s">
        <v>12</v>
      </c>
      <c r="D60" s="7" t="s">
        <v>13</v>
      </c>
    </row>
    <row r="61" spans="1:8" x14ac:dyDescent="0.35">
      <c r="B61" s="8">
        <f>1/3</f>
        <v>0.33333333333333331</v>
      </c>
      <c r="C61" s="8">
        <f>1/3</f>
        <v>0.33333333333333331</v>
      </c>
      <c r="D61" s="8">
        <f>1/3</f>
        <v>0.33333333333333331</v>
      </c>
      <c r="E61" s="1" t="s">
        <v>27</v>
      </c>
    </row>
    <row r="64" spans="1:8" x14ac:dyDescent="0.35">
      <c r="B64" s="1" t="s">
        <v>28</v>
      </c>
      <c r="E64" s="1" t="s">
        <v>29</v>
      </c>
    </row>
    <row r="70" spans="2:5" x14ac:dyDescent="0.35">
      <c r="C70" s="11" t="s">
        <v>30</v>
      </c>
      <c r="D70" s="11" t="s">
        <v>31</v>
      </c>
      <c r="E70" s="11" t="s">
        <v>32</v>
      </c>
    </row>
    <row r="71" spans="2:5" x14ac:dyDescent="0.35">
      <c r="B71" s="1" t="s">
        <v>30</v>
      </c>
      <c r="C71" s="1" t="s">
        <v>33</v>
      </c>
    </row>
    <row r="72" spans="2:5" x14ac:dyDescent="0.35">
      <c r="B72" s="1" t="s">
        <v>31</v>
      </c>
      <c r="C72" s="1" t="s">
        <v>34</v>
      </c>
      <c r="D72" s="1" t="s">
        <v>35</v>
      </c>
    </row>
    <row r="73" spans="2:5" x14ac:dyDescent="0.35">
      <c r="B73" s="1" t="s">
        <v>32</v>
      </c>
      <c r="C73" s="1" t="s">
        <v>36</v>
      </c>
      <c r="D73" s="1" t="s">
        <v>37</v>
      </c>
      <c r="E73" s="1" t="s">
        <v>38</v>
      </c>
    </row>
    <row r="75" spans="2:5" ht="15" thickBot="1" x14ac:dyDescent="0.4"/>
    <row r="76" spans="2:5" x14ac:dyDescent="0.35">
      <c r="B76" s="12"/>
      <c r="C76" s="12" t="s">
        <v>4</v>
      </c>
      <c r="D76" s="12" t="s">
        <v>5</v>
      </c>
      <c r="E76" s="12" t="s">
        <v>6</v>
      </c>
    </row>
    <row r="77" spans="2:5" x14ac:dyDescent="0.35">
      <c r="B77" s="1" t="s">
        <v>4</v>
      </c>
      <c r="C77" s="1">
        <f>VARP('VAR-оценка риска'!$C$8:$C$17)</f>
        <v>1.9922499999999975E-3</v>
      </c>
      <c r="D77" s="1">
        <f>C78</f>
        <v>-8.6000000000000003E-5</v>
      </c>
      <c r="E77" s="1">
        <f>C79</f>
        <v>1.4039999999999999E-3</v>
      </c>
    </row>
    <row r="78" spans="2:5" x14ac:dyDescent="0.35">
      <c r="B78" s="1" t="s">
        <v>5</v>
      </c>
      <c r="C78" s="1">
        <v>-8.6000000000000003E-5</v>
      </c>
      <c r="D78" s="1">
        <f>VARP('VAR-оценка риска'!$D$8:$D$17)</f>
        <v>4.735999999999998E-3</v>
      </c>
      <c r="E78" s="1">
        <f>D79</f>
        <v>8.3600000000000015E-4</v>
      </c>
    </row>
    <row r="79" spans="2:5" ht="15" thickBot="1" x14ac:dyDescent="0.4">
      <c r="B79" s="13" t="s">
        <v>6</v>
      </c>
      <c r="C79" s="13">
        <v>1.4039999999999999E-3</v>
      </c>
      <c r="D79" s="13">
        <v>8.3600000000000015E-4</v>
      </c>
      <c r="E79" s="13">
        <f>VARP('VAR-оценка риска'!$E$8:$E$17)</f>
        <v>3.8359999999999948E-3</v>
      </c>
    </row>
    <row r="86" spans="2:9" x14ac:dyDescent="0.35">
      <c r="B86" s="7" t="s">
        <v>39</v>
      </c>
      <c r="C86" s="8">
        <v>0.2576</v>
      </c>
      <c r="D86" s="8">
        <v>0.3468</v>
      </c>
      <c r="E86" s="8">
        <v>0.39560000000000001</v>
      </c>
      <c r="G86" s="7" t="s">
        <v>39</v>
      </c>
      <c r="H86" s="7" t="s">
        <v>40</v>
      </c>
      <c r="I86" s="7" t="s">
        <v>41</v>
      </c>
    </row>
    <row r="87" spans="2:9" x14ac:dyDescent="0.35">
      <c r="B87" s="7" t="s">
        <v>42</v>
      </c>
      <c r="C87" s="7">
        <v>0.37280000000000002</v>
      </c>
      <c r="D87" s="7">
        <v>0.30380000000000001</v>
      </c>
      <c r="E87" s="7">
        <v>0.32340000000000002</v>
      </c>
      <c r="G87" s="8">
        <v>0.2576</v>
      </c>
      <c r="H87" s="7">
        <v>0.37280000000000002</v>
      </c>
      <c r="I87" s="7">
        <v>0.33329999999999999</v>
      </c>
    </row>
    <row r="88" spans="2:9" x14ac:dyDescent="0.35">
      <c r="B88" s="7" t="s">
        <v>43</v>
      </c>
      <c r="C88" s="7">
        <v>0.33329999999999999</v>
      </c>
      <c r="D88" s="7">
        <v>0.33329999999999999</v>
      </c>
      <c r="E88" s="7">
        <v>0.33329999999999999</v>
      </c>
      <c r="G88" s="8">
        <v>0.3468</v>
      </c>
      <c r="H88" s="7">
        <v>0.30380000000000001</v>
      </c>
      <c r="I88" s="7">
        <v>0.33329999999999999</v>
      </c>
    </row>
    <row r="89" spans="2:9" x14ac:dyDescent="0.35">
      <c r="G89" s="8">
        <v>0.39560000000000001</v>
      </c>
      <c r="H89" s="7">
        <v>0.32340000000000002</v>
      </c>
      <c r="I89" s="7">
        <v>0.33329999999999999</v>
      </c>
    </row>
    <row r="94" spans="2:9" x14ac:dyDescent="0.35">
      <c r="E94" s="7" t="s">
        <v>44</v>
      </c>
      <c r="F94" s="8">
        <f t="array" ref="F94">SQRT(MMULT(MMULT(C86:E86,C77:E79),G87:G89))</f>
        <v>4.2453610379330507E-2</v>
      </c>
    </row>
    <row r="95" spans="2:9" x14ac:dyDescent="0.35">
      <c r="E95" s="7" t="s">
        <v>45</v>
      </c>
      <c r="F95" s="8">
        <f t="array" ref="F95">SQRT(MMULT(MMULT(C87:E87,C77:E79),H87:H89))</f>
        <v>3.9981512609704992E-2</v>
      </c>
    </row>
    <row r="96" spans="2:9" x14ac:dyDescent="0.35">
      <c r="E96" s="7" t="s">
        <v>46</v>
      </c>
      <c r="F96" s="8">
        <f t="array" ref="F96">SQRT(MMULT(MMULT(C88:E88,C77:E79),I87:I89))</f>
        <v>4.0646546523690041E-2</v>
      </c>
    </row>
    <row r="98" spans="2:6" x14ac:dyDescent="0.35">
      <c r="E98" s="7" t="s">
        <v>47</v>
      </c>
      <c r="F98" s="8">
        <f>C18*B29+D18*C29+E18*D29</f>
        <v>0.14050854700854704</v>
      </c>
    </row>
    <row r="99" spans="2:6" x14ac:dyDescent="0.35">
      <c r="E99" s="7" t="s">
        <v>48</v>
      </c>
      <c r="F99" s="8">
        <f>C56*C18+D56*D18+E56*E18</f>
        <v>0.1348631131989555</v>
      </c>
    </row>
    <row r="100" spans="2:6" x14ac:dyDescent="0.35">
      <c r="E100" s="7" t="s">
        <v>49</v>
      </c>
      <c r="F100" s="8">
        <f>B61*C18+C61*D18+D61*E18</f>
        <v>0.13650000000000001</v>
      </c>
    </row>
    <row r="102" spans="2:6" x14ac:dyDescent="0.35">
      <c r="E102" s="7" t="s">
        <v>50</v>
      </c>
      <c r="F102" s="8">
        <f>F98+1.96*F94</f>
        <v>0.22371762335203482</v>
      </c>
    </row>
    <row r="103" spans="2:6" x14ac:dyDescent="0.35">
      <c r="E103" s="7" t="s">
        <v>51</v>
      </c>
      <c r="F103" s="8">
        <f>F99+1.96*F95</f>
        <v>0.21322687791397726</v>
      </c>
    </row>
    <row r="104" spans="2:6" x14ac:dyDescent="0.35">
      <c r="E104" s="7" t="s">
        <v>52</v>
      </c>
      <c r="F104" s="8">
        <f>F100+1.96*F96</f>
        <v>0.2161672311864325</v>
      </c>
    </row>
    <row r="107" spans="2:6" x14ac:dyDescent="0.35">
      <c r="B107" s="1" t="s">
        <v>53</v>
      </c>
    </row>
    <row r="108" spans="2:6" x14ac:dyDescent="0.35">
      <c r="B108" s="1" t="s">
        <v>54</v>
      </c>
    </row>
    <row r="109" spans="2:6" x14ac:dyDescent="0.35">
      <c r="B109" s="1" t="s">
        <v>55</v>
      </c>
    </row>
    <row r="110" spans="2:6" x14ac:dyDescent="0.35">
      <c r="B110" s="1" t="s">
        <v>56</v>
      </c>
    </row>
    <row r="112" spans="2:6" x14ac:dyDescent="0.35">
      <c r="B112" s="1" t="s">
        <v>57</v>
      </c>
    </row>
    <row r="113" spans="2:2" x14ac:dyDescent="0.35">
      <c r="B113" s="1" t="s">
        <v>58</v>
      </c>
    </row>
    <row r="114" spans="2:2" x14ac:dyDescent="0.35">
      <c r="B114" s="1" t="s">
        <v>59</v>
      </c>
    </row>
    <row r="116" spans="2:2" x14ac:dyDescent="0.35">
      <c r="B116" s="1" t="s">
        <v>60</v>
      </c>
    </row>
    <row r="117" spans="2:2" x14ac:dyDescent="0.35">
      <c r="B117" s="1" t="s">
        <v>61</v>
      </c>
    </row>
    <row r="118" spans="2:2" x14ac:dyDescent="0.35">
      <c r="B118" s="1" t="s">
        <v>62</v>
      </c>
    </row>
  </sheetData>
  <mergeCells count="2">
    <mergeCell ref="A20:D20"/>
    <mergeCell ref="A21:D21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Компоненты временного ряда ВВП</vt:lpstr>
      <vt:lpstr>Многоканальная СМО</vt:lpstr>
      <vt:lpstr>Кластеризация</vt:lpstr>
      <vt:lpstr>Согласованность экспертов</vt:lpstr>
      <vt:lpstr>Индексы</vt:lpstr>
      <vt:lpstr>Тест Граббса</vt:lpstr>
      <vt:lpstr>Страхование1</vt:lpstr>
      <vt:lpstr>Страхование2</vt:lpstr>
      <vt:lpstr>Хэджирование</vt:lpstr>
      <vt:lpstr>Секъюритизация</vt:lpstr>
      <vt:lpstr>Диверсификация производства</vt:lpstr>
      <vt:lpstr>Корреляционный и регрессионный </vt:lpstr>
      <vt:lpstr>VAR-оценка риска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Agapov</dc:creator>
  <cp:lastModifiedBy>Michael Agapov</cp:lastModifiedBy>
  <dcterms:created xsi:type="dcterms:W3CDTF">2015-06-05T18:19:34Z</dcterms:created>
  <dcterms:modified xsi:type="dcterms:W3CDTF">2026-03-24T14:42:11Z</dcterms:modified>
</cp:coreProperties>
</file>