
<file path=[Content_Types].xml><?xml version="1.0" encoding="utf-8"?>
<Types xmlns="http://schemas.openxmlformats.org/package/2006/content-types">
  <Default ContentType="application/vnd.ms-office.vbaProject" Extension="bin"/>
  <Default ContentType="application/vnd.openxmlformats-package.relationships+xml" Extension="rels"/>
  <Default ContentType="application/xml" Extension="xml"/>
  <Override ContentType="application/vnd.ms-excel.sheet.macroEnabled.main+xml" PartName="/xl/workbook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extended-properties+xml" PartName="/docProps/app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5"/>
    <sheet state="visible" name="Summary" sheetId="2" r:id="rId6"/>
    <sheet state="visible" name="NIFTY" sheetId="3" r:id="rId7"/>
    <sheet state="visible" name="BANKNIFTY" sheetId="4" r:id="rId8"/>
  </sheets>
  <externalReferences>
    <externalReference r:id="rId9"/>
  </externalReferences>
  <definedNames>
    <definedName hidden="1" localSheetId="1" name="_xlnm._FilterDatabase">Summary!$B$6:$AB$6</definedName>
  </definedNames>
  <calcPr/>
</workbook>
</file>

<file path=xl/sharedStrings.xml><?xml version="1.0" encoding="utf-8"?>
<sst xmlns="http://schemas.openxmlformats.org/spreadsheetml/2006/main" count="1456" uniqueCount="692">
  <si>
    <t>Available Expiry</t>
  </si>
  <si>
    <t>Stock Symbol</t>
  </si>
  <si>
    <t>Stock Name</t>
  </si>
  <si>
    <t>Exp1</t>
  </si>
  <si>
    <t>Exp2</t>
  </si>
  <si>
    <t>Exp3</t>
  </si>
  <si>
    <t>--</t>
  </si>
  <si>
    <t>FFMS (in crores)</t>
  </si>
  <si>
    <t>SBIN</t>
  </si>
  <si>
    <t>https://www.nseindia.com/live_market/dynaContent/live_watch/option_chain/optionKeys.jsp?symbolCode=238&amp;symbol=SBIN&amp;symbol=SBIN&amp;instrument=OPTSTK&amp;date=-&amp;segmentLink=17&amp;segmentLink=17</t>
  </si>
  <si>
    <t>STATE BANK OF INDIA</t>
  </si>
  <si>
    <t>30APR2020</t>
  </si>
  <si>
    <t>28MAY2020</t>
  </si>
  <si>
    <t>25JUN2020</t>
  </si>
  <si>
    <t>BANKBARODA</t>
  </si>
  <si>
    <t>https://www.nseindia.com/live_market/dynaContent/live_watch/option_chain/optionKeys.jsp?symbolCode=1583&amp;symbol=BANKBARODA&amp;symbol=BANKBARODA&amp;instrument=OPTSTK&amp;date=-&amp;segmentLink=17&amp;segmentLink=17</t>
  </si>
  <si>
    <t>BANK OF BARODA</t>
  </si>
  <si>
    <t>4,00,609.25</t>
  </si>
  <si>
    <t>PNB</t>
  </si>
  <si>
    <t>https://www.nseindia.com/live_market/dynaContent/live_watch/option_chain/optionKeys.jsp?symbolCode=2009&amp;symbol=PNB&amp;symbol=PNB&amp;instrument=OPTSTK&amp;date=-&amp;segmentLink=17&amp;segmentLink=17</t>
  </si>
  <si>
    <t>PUNJAB NATIONAL BANK</t>
  </si>
  <si>
    <t>2,21,808.50</t>
  </si>
  <si>
    <t>HDFCBANK</t>
  </si>
  <si>
    <t>https://www.nseindia.com/live_market/dynaContent/live_watch/option_chain/optionKeys.jsp?symbolCode=797&amp;symbol=HDFCBANK&amp;symbol=HDFCBANK&amp;instrument=OPTSTK&amp;date=-&amp;segmentLink=17&amp;segmentLink=17</t>
  </si>
  <si>
    <t>HDFC BANK LIMITED</t>
  </si>
  <si>
    <t>ICICIBANK</t>
  </si>
  <si>
    <t>https://www.nseindia.com/live_market/dynaContent/live_watch/option_chain/optionKeys.jsp?symbolCode=1606&amp;symbol=ICICIBANK&amp;symbol=ICICIBANK&amp;instrument=OPTSTK&amp;date=-&amp;segmentLink=17&amp;segmentLink=17</t>
  </si>
  <si>
    <t>ICICI BANK LIMITED</t>
  </si>
  <si>
    <t>1,70,406.50</t>
  </si>
  <si>
    <t>AXISBANK</t>
  </si>
  <si>
    <t>https://www.nseindia.com/live_market/dynaContent/live_watch/option_chain/optionKeys.jsp?symbolCode=1693&amp;symbol=AXISBANK&amp;symbol=AXISBANK&amp;instrument=OPTSTK&amp;date=-&amp;segmentLink=17&amp;segmentLink=17</t>
  </si>
  <si>
    <t>AXIS BANK LIMITED</t>
  </si>
  <si>
    <t>KOTAKBANK</t>
  </si>
  <si>
    <t>https://www.nseindia.com/live_market/dynaContent/live_watch/option_chain/optionKeys.jsp?symbolCode=1118&amp;symbol=KOTAKBANK&amp;symbol=KOTAKBANK&amp;instrument=OPTSTK&amp;date=-&amp;segmentLink=17&amp;segmentLink=17</t>
  </si>
  <si>
    <t>KOTAK MAHINDRA BANK LIMITED</t>
  </si>
  <si>
    <t>INDUSINDBK</t>
  </si>
  <si>
    <t>https://www.nseindia.com/live_market/dynaContent/live_watch/option_chain/optionKeys.jsp?symbolCode=1656&amp;symbol=INDUSINDBK&amp;symbol=INDUSINDBK&amp;instrument=OPTSTK&amp;date=-&amp;segmentLink=17&amp;segmentLink=17</t>
  </si>
  <si>
    <t>INDUSIND BANK LIMITED</t>
  </si>
  <si>
    <t>FEDERALBNK</t>
  </si>
  <si>
    <t>https://www.nseindia.com/live_market/dynaContent/live_watch/option_chain/optionKeys.jsp?symbolCode=309&amp;symbol=FEDERALBNK&amp;symbol=FEDERALBNK&amp;instrument=OPTSTK&amp;date=-&amp;segmentLink=17&amp;segmentLink=17</t>
  </si>
  <si>
    <t>THE FEDERAL BANKÂ  LIMITED</t>
  </si>
  <si>
    <t>IDFCFIRSTB</t>
  </si>
  <si>
    <t>https://www.nseindia.com/live_market/dynaContent/live_watch/option_chain/optionKeys.jsp?symbolCode=13160&amp;symbol=IDFCFIRSTB&amp;symbol=IDFCFIRSTB&amp;instrument=OPTSTK&amp;date=-&amp;segmentLink=17&amp;segmentLink=17</t>
  </si>
  <si>
    <t>IDFC FIRST BANK LIMITED</t>
  </si>
  <si>
    <t>RBLBANK</t>
  </si>
  <si>
    <t>https://www.nseindia.com/live_market/dynaContent/live_watch/option_chain/optionKeys.jsp?symbolCode=14160&amp;symbol=RBLBANK&amp;symbol=RBLBANK&amp;instrument=OPTSTK&amp;date=-&amp;segmentLink=17&amp;segmentLink=17</t>
  </si>
  <si>
    <t>RBL BANK LIMITED</t>
  </si>
  <si>
    <t>YESBANK</t>
  </si>
  <si>
    <t>https://www.nseindia.com/live_market/dynaContent/live_watch/option_chain/optionKeys.jsp?symbolCode=2304&amp;symbol=YESBANK&amp;symbol=YESBANK&amp;instrument=OPTSTK&amp;date=-&amp;segmentLink=17&amp;segmentLink=17</t>
  </si>
  <si>
    <t>YES BANK LIMITED</t>
  </si>
  <si>
    <t>1,09,311.37</t>
  </si>
  <si>
    <t>CANBK</t>
  </si>
  <si>
    <t>https://www.nseindia.com/live_market/dynaContent/live_watch/option_chain/optionKeys.jsp?symbolCode=2032&amp;symbol=CANBK&amp;symbol=CANBK&amp;instrument=OPTSTK&amp;date=-&amp;segmentLink=17&amp;segmentLink=17</t>
  </si>
  <si>
    <t>CANARA BANK</t>
  </si>
  <si>
    <t>ACC</t>
  </si>
  <si>
    <t>https://www.nseindia.com/live_market/dynaContent/live_watch/option_chain/optionKeys.jsp?symbolCode=209&amp;symbol=ACC&amp;symbol=ACC&amp;instrument=OPTSTK&amp;date=-&amp;segmentLink=17&amp;segmentLink=17</t>
  </si>
  <si>
    <t>ACC LIMITED</t>
  </si>
  <si>
    <t>ADANIENT</t>
  </si>
  <si>
    <t>https://www.nseindia.com/live_market/dynaContent/live_watch/option_chain/optionKeys.jsp?symbolCode=424&amp;symbol=ADANIENT&amp;symbol=ADANIENT&amp;instrument=OPTSTK&amp;date=-&amp;segmentLink=17&amp;segmentLink=17</t>
  </si>
  <si>
    <t>ADANI ENTERPRISES LIMITED</t>
  </si>
  <si>
    <t>ADANIPORTS</t>
  </si>
  <si>
    <t>https://www.nseindia.com/live_market/dynaContent/live_watch/option_chain/optionKeys.jsp?symbolCode=2683&amp;symbol=ADANIPORTS&amp;symbol=ADANIPORTS&amp;instrument=OPTSTK&amp;date=-&amp;segmentLink=17&amp;segmentLink=17</t>
  </si>
  <si>
    <t>ADANI PORTS AND SPECIAL ECONOMIC ZONE LIMITED</t>
  </si>
  <si>
    <t>ADANIPOWER</t>
  </si>
  <si>
    <t>https://www.nseindia.com/live_market/dynaContent/live_watch/option_chain/optionKeys.jsp?symbolCode=2901&amp;symbol=ADANIPOWER&amp;symbol=ADANIPOWER&amp;instrument=OPTSTK&amp;date=-&amp;segmentLink=17&amp;segmentLink=17</t>
  </si>
  <si>
    <t>ADANI POWER LIMITED</t>
  </si>
  <si>
    <t>AMARAJABAT</t>
  </si>
  <si>
    <t>https://www.nseindia.com/live_market/dynaContent/live_watch/option_chain/optionKeys.jsp?symbolCode=421&amp;symbol=AMARAJABAT&amp;symbol=AMARAJABAT&amp;instrument=OPTSTK&amp;date=-&amp;segmentLink=17&amp;segmentLink=17</t>
  </si>
  <si>
    <t>AMARA RAJA BATTERIES LIMITED</t>
  </si>
  <si>
    <t>AMBUJACEM</t>
  </si>
  <si>
    <t>https://www.nseindia.com/live_market/dynaContent/live_watch/option_chain/optionKeys.jsp?symbolCode=1235&amp;symbol=AMBUJACEM&amp;symbol=AMBUJACEM&amp;instrument=OPTSTK&amp;date=-&amp;segmentLink=17&amp;segmentLink=17</t>
  </si>
  <si>
    <t>AMBUJA CEMENTS LIMITED</t>
  </si>
  <si>
    <t>APOLLOHOSP</t>
  </si>
  <si>
    <t>https://www.nseindia.com/live_market/dynaContent/live_watch/option_chain/optionKeys.jsp?symbolCode=417&amp;symbol=APOLLOHOSP&amp;symbol=APOLLOHOSP&amp;instrument=OPTSTK&amp;date=-&amp;segmentLink=17&amp;segmentLink=17</t>
  </si>
  <si>
    <t>APOLLO HOSPITALS ENTERPRISE LIMITED</t>
  </si>
  <si>
    <t>APOLLOTYRE</t>
  </si>
  <si>
    <t>https://www.nseindia.com/live_market/dynaContent/live_watch/option_chain/optionKeys.jsp?symbolCode=901&amp;symbol=APOLLOTYRE&amp;symbol=APOLLOTYRE&amp;instrument=OPTSTK&amp;date=-&amp;segmentLink=17&amp;segmentLink=17</t>
  </si>
  <si>
    <t>APOLLO TYRES LIMITED</t>
  </si>
  <si>
    <t>ASHOKLEY</t>
  </si>
  <si>
    <t>https://www.nseindia.com/live_market/dynaContent/live_watch/option_chain/optionKeys.jsp?symbolCode=228&amp;symbol=ASHOKLEY&amp;symbol=ASHOKLEY&amp;instrument=OPTSTK&amp;date=-&amp;segmentLink=17&amp;segmentLink=17</t>
  </si>
  <si>
    <t>ASHOK LEYLAND LIMITED</t>
  </si>
  <si>
    <t>2,94,459.82</t>
  </si>
  <si>
    <t>ASIANPAINT</t>
  </si>
  <si>
    <t>https://www.nseindia.com/live_market/dynaContent/live_watch/option_chain/optionKeys.jsp?symbolCode=288&amp;symbol=ASIANPAINT&amp;symbol=ASIANPAINT&amp;instrument=OPTSTK&amp;date=-&amp;segmentLink=17&amp;segmentLink=17</t>
  </si>
  <si>
    <t>ASIAN PAINTS LIMITED</t>
  </si>
  <si>
    <t>AUROPHARMA</t>
  </si>
  <si>
    <t>https://www.nseindia.com/live_market/dynaContent/live_watch/option_chain/optionKeys.jsp?symbolCode=934&amp;symbol=AUROPHARMA&amp;symbol=AUROPHARMA&amp;instrument=OPTSTK&amp;date=-&amp;segmentLink=17&amp;segmentLink=17</t>
  </si>
  <si>
    <t>AUROBINDO PHARMA LIMITED</t>
  </si>
  <si>
    <t>BAJAJ-AUTO</t>
  </si>
  <si>
    <t>https://www.nseindia.com/live_market/dynaContent/live_watch/option_chain/optionKeys.jsp?symbolCode=2750&amp;symbol=BAJAJ-AUTO&amp;symbol=BAJAJ-AUTO&amp;instrument=OPTSTK&amp;date=-&amp;segmentLink=17&amp;segmentLink=17</t>
  </si>
  <si>
    <t>BAJAJ AUTO LIMITED</t>
  </si>
  <si>
    <t>1,69,471.39</t>
  </si>
  <si>
    <t>BAJAJFINSV</t>
  </si>
  <si>
    <t>https://www.nseindia.com/live_market/dynaContent/live_watch/option_chain/optionKeys.jsp?symbolCode=2749&amp;symbol=BAJAJFINSV&amp;symbol=BAJAJFINSV&amp;instrument=OPTSTK&amp;date=-&amp;segmentLink=17&amp;segmentLink=17</t>
  </si>
  <si>
    <t>BAJAJ FINSERV LIMITED</t>
  </si>
  <si>
    <t>BAJFINANCE</t>
  </si>
  <si>
    <t>https://www.nseindia.com/live_market/dynaContent/live_watch/option_chain/optionKeys.jsp?symbolCode=1257&amp;symbol=BAJFINANCE&amp;symbol=BAJFINANCE&amp;instrument=OPTSTK&amp;date=-&amp;segmentLink=17&amp;segmentLink=17</t>
  </si>
  <si>
    <t>BAJAJ FINANCE LIMITED</t>
  </si>
  <si>
    <t>2,33,035.56</t>
  </si>
  <si>
    <t>BALKRISIND</t>
  </si>
  <si>
    <t>https://www.nseindia.com/live_market/dynaContent/live_watch/option_chain/optionKeys.jsp?symbolCode=434&amp;symbol=BALKRISIND&amp;symbol=BALKRISIND&amp;instrument=OPTSTK&amp;date=-&amp;segmentLink=17&amp;segmentLink=17</t>
  </si>
  <si>
    <t>BALKRISHNA INDUSTRIES LIMITED</t>
  </si>
  <si>
    <t>BATAINDIA</t>
  </si>
  <si>
    <t>https://www.nseindia.com/live_market/dynaContent/live_watch/option_chain/optionKeys.jsp?symbolCode=254&amp;symbol=BATAINDIA&amp;symbol=BATAINDIA&amp;instrument=OPTSTK&amp;date=-&amp;segmentLink=17&amp;segmentLink=17</t>
  </si>
  <si>
    <t>BATA INDIA LIMITED</t>
  </si>
  <si>
    <t>1,61,676.64</t>
  </si>
  <si>
    <t>BEL</t>
  </si>
  <si>
    <t>https://www.nseindia.com/live_market/dynaContent/live_watch/option_chain/optionKeys.jsp?symbolCode=1254&amp;symbol=BEL&amp;symbol=BEL&amp;instrument=OPTSTK&amp;date=-&amp;segmentLink=17&amp;segmentLink=17</t>
  </si>
  <si>
    <t>BHARAT ELECTRONICS LIMITED</t>
  </si>
  <si>
    <t>BERGEPAINT</t>
  </si>
  <si>
    <t>https://www.nseindia.com/live_market/dynaContent/live_watch/option_chain/optionKeys.jsp?symbolCode=488&amp;symbol=BERGEPAINT&amp;symbol=BERGEPAINT&amp;instrument=OPTSTK&amp;date=-&amp;segmentLink=17&amp;segmentLink=17</t>
  </si>
  <si>
    <t>BERGER PAINTS (I) LIMITED</t>
  </si>
  <si>
    <t>1,00,404.69</t>
  </si>
  <si>
    <t>BHARATFORG</t>
  </si>
  <si>
    <t>https://www.nseindia.com/live_market/dynaContent/live_watch/option_chain/optionKeys.jsp?symbolCode=201&amp;symbol=BHARATFORG&amp;symbol=BHARATFORG&amp;instrument=OPTSTK&amp;date=-&amp;segmentLink=17&amp;segmentLink=17</t>
  </si>
  <si>
    <t>BHARAT FORGE LIMITED</t>
  </si>
  <si>
    <t>BHARTIARTL</t>
  </si>
  <si>
    <t>https://www.nseindia.com/live_market/dynaContent/live_watch/option_chain/optionKeys.jsp?symbolCode=2002&amp;symbol=BHARTIARTL&amp;symbol=BHARTIARTL&amp;instrument=OPTSTK&amp;date=-&amp;segmentLink=17&amp;segmentLink=17</t>
  </si>
  <si>
    <t>BHARTI AIRTEL LIMITED</t>
  </si>
  <si>
    <t>BHEL</t>
  </si>
  <si>
    <t>https://www.nseindia.com/live_market/dynaContent/live_watch/option_chain/optionKeys.jsp?symbolCode=1252&amp;symbol=BHEL&amp;symbol=BHEL&amp;instrument=OPTSTK&amp;date=-&amp;segmentLink=17&amp;segmentLink=17</t>
  </si>
  <si>
    <t>BHARAT HEAVY ELECTRICALS LIMITED</t>
  </si>
  <si>
    <t>BIOCON</t>
  </si>
  <si>
    <t>https://www.nseindia.com/live_market/dynaContent/live_watch/option_chain/optionKeys.jsp?symbolCode=2181&amp;symbol=BIOCON&amp;symbol=BIOCON&amp;instrument=OPTSTK&amp;date=-&amp;segmentLink=17&amp;segmentLink=17</t>
  </si>
  <si>
    <t>BIOCON LIMITED</t>
  </si>
  <si>
    <t>BOSCHLTD</t>
  </si>
  <si>
    <t>https://www.nseindia.com/live_market/dynaContent/live_watch/option_chain/optionKeys.jsp?symbolCode=249&amp;symbol=BOSCHLTD&amp;symbol=BOSCHLTD&amp;instrument=OPTSTK&amp;date=-&amp;segmentLink=17&amp;segmentLink=17</t>
  </si>
  <si>
    <t>BOSCH LIMITED</t>
  </si>
  <si>
    <t>BPCL</t>
  </si>
  <si>
    <t>https://www.nseindia.com/live_market/dynaContent/live_watch/option_chain/optionKeys.jsp?symbolCode=199&amp;symbol=BPCL&amp;symbol=BPCL&amp;instrument=OPTSTK&amp;date=-&amp;segmentLink=17&amp;segmentLink=17</t>
  </si>
  <si>
    <t>BHARAT PETROLEUM CORPORATION LIMITED</t>
  </si>
  <si>
    <t>BRITANNIA</t>
  </si>
  <si>
    <t>https://www.nseindia.com/live_market/dynaContent/live_watch/option_chain/optionKeys.jsp?symbolCode=761&amp;symbol=BRITANNIA&amp;symbol=BRITANNIA&amp;instrument=OPTSTK&amp;date=-&amp;segmentLink=17&amp;segmentLink=17</t>
  </si>
  <si>
    <t>BRITANNIA INDUSTRIES LIMITED</t>
  </si>
  <si>
    <t>3,94,412.99</t>
  </si>
  <si>
    <t>CADILAHC</t>
  </si>
  <si>
    <t>https://www.nseindia.com/live_market/dynaContent/live_watch/option_chain/optionKeys.jsp?symbolCode=1852&amp;symbol=CADILAHC&amp;symbol=CADILAHC&amp;instrument=OPTSTK&amp;date=-&amp;segmentLink=17&amp;segmentLink=17</t>
  </si>
  <si>
    <t>CADILA HEALTHCARE LIMITED</t>
  </si>
  <si>
    <t>CASTROLIND</t>
  </si>
  <si>
    <t>https://www.nseindia.com/live_market/dynaContent/live_watch/option_chain/optionKeys.jsp?symbolCode=8975&amp;symbol=CASTROLIND&amp;symbol=CASTROLIND&amp;instrument=OPTSTK&amp;date=-&amp;segmentLink=17&amp;segmentLink=17</t>
  </si>
  <si>
    <t>CASTROL INDIA LIMITED</t>
  </si>
  <si>
    <t>CENTURYTEX</t>
  </si>
  <si>
    <t>https://www.nseindia.com/live_market/dynaContent/live_watch/option_chain/optionKeys.jsp?symbolCode=295&amp;symbol=CENTURYTEX&amp;symbol=CENTURYTEX&amp;instrument=OPTSTK&amp;date=-&amp;segmentLink=17&amp;segmentLink=17</t>
  </si>
  <si>
    <t>CENTURY TEXTILES &amp; INDUSTRIES LIMITED</t>
  </si>
  <si>
    <t>CESC</t>
  </si>
  <si>
    <t>https://www.nseindia.com/live_market/dynaContent/live_watch/option_chain/optionKeys.jsp?symbolCode=1245&amp;symbol=CESC&amp;symbol=CESC&amp;instrument=OPTSTK&amp;date=-&amp;segmentLink=17&amp;segmentLink=17</t>
  </si>
  <si>
    <t>CESC LIMITED</t>
  </si>
  <si>
    <t>CHOLAFIN</t>
  </si>
  <si>
    <t>https://www.nseindia.com/live_market/dynaContent/live_watch/option_chain/optionKeys.jsp?symbolCode=1109&amp;symbol=CHOLAFIN&amp;symbol=CHOLAFIN&amp;instrument=OPTSTK&amp;date=-&amp;segmentLink=17&amp;segmentLink=17</t>
  </si>
  <si>
    <t>CHOLAMANDALAM INVESTMENT AND FINANCE COMPANY LIMITED</t>
  </si>
  <si>
    <t>1,85,563.68</t>
  </si>
  <si>
    <t>CIPLA</t>
  </si>
  <si>
    <t>https://www.nseindia.com/live_market/dynaContent/live_watch/option_chain/optionKeys.jsp?symbolCode=792&amp;symbol=CIPLA&amp;symbol=CIPLA&amp;instrument=OPTSTK&amp;date=-&amp;segmentLink=17&amp;segmentLink=17</t>
  </si>
  <si>
    <t>CIPLA LIMITED</t>
  </si>
  <si>
    <t>COALINDIA</t>
  </si>
  <si>
    <t>https://www.nseindia.com/live_market/dynaContent/live_watch/option_chain/optionKeys.jsp?symbolCode=3691&amp;symbol=COALINDIA&amp;symbol=COALINDIA&amp;instrument=OPTSTK&amp;date=-&amp;segmentLink=17&amp;segmentLink=17</t>
  </si>
  <si>
    <t>COAL INDIA LIMITED</t>
  </si>
  <si>
    <t>COLPAL</t>
  </si>
  <si>
    <t>https://www.nseindia.com/live_market/dynaContent/live_watch/option_chain/optionKeys.jsp?symbolCode=2692&amp;symbol=COLPAL&amp;symbol=COLPAL&amp;instrument=OPTSTK&amp;date=-&amp;segmentLink=17&amp;segmentLink=17</t>
  </si>
  <si>
    <t>COLGATE PALMOLIVE (INDIA) LIMITED</t>
  </si>
  <si>
    <t>CONCOR</t>
  </si>
  <si>
    <t>https://www.nseindia.com/live_market/dynaContent/live_watch/option_chain/optionKeys.jsp?symbolCode=1601&amp;symbol=CONCOR&amp;symbol=CONCOR&amp;instrument=OPTSTK&amp;date=-&amp;segmentLink=17&amp;segmentLink=17</t>
  </si>
  <si>
    <t>CONTAINER CORPORATION OF INDIA LIMITED</t>
  </si>
  <si>
    <t>CUMMINSIND</t>
  </si>
  <si>
    <t>https://www.nseindia.com/live_market/dynaContent/live_watch/option_chain/optionKeys.jsp?symbolCode=173&amp;symbol=CUMMINSIND&amp;symbol=CUMMINSIND&amp;instrument=OPTSTK&amp;date=-&amp;segmentLink=17&amp;segmentLink=17</t>
  </si>
  <si>
    <t>CUMMINS INDIA LIMITED</t>
  </si>
  <si>
    <t>DABUR</t>
  </si>
  <si>
    <t>https://www.nseindia.com/live_market/dynaContent/live_watch/option_chain/optionKeys.jsp?symbolCode=787&amp;symbol=DABUR&amp;symbol=DABUR&amp;instrument=OPTSTK&amp;date=-&amp;segmentLink=17&amp;segmentLink=17</t>
  </si>
  <si>
    <t>DABUR INDIA LIMITED</t>
  </si>
  <si>
    <t>DISHTV</t>
  </si>
  <si>
    <t>https://www.nseindia.com/live_market/dynaContent/live_watch/option_chain/optionKeys.jsp?symbolCode=2577&amp;symbol=DISHTV&amp;symbol=DISHTV&amp;instrument=OPTSTK&amp;date=-&amp;segmentLink=17&amp;segmentLink=17</t>
  </si>
  <si>
    <t>DISH TV INDIA LIMITED</t>
  </si>
  <si>
    <t>DIVISLAB</t>
  </si>
  <si>
    <t>https://www.nseindia.com/live_market/dynaContent/live_watch/option_chain/optionKeys.jsp?symbolCode=2132&amp;symbol=DIVISLAB&amp;symbol=DIVISLAB&amp;instrument=OPTSTK&amp;date=-&amp;segmentLink=17&amp;segmentLink=17</t>
  </si>
  <si>
    <t>DIVI'S LABORATORIES LIMITED</t>
  </si>
  <si>
    <t>DLF</t>
  </si>
  <si>
    <t>https://www.nseindia.com/live_market/dynaContent/live_watch/option_chain/optionKeys.jsp?symbolCode=2622&amp;symbol=DLF&amp;symbol=DLF&amp;instrument=OPTSTK&amp;date=-&amp;segmentLink=17&amp;segmentLink=17</t>
  </si>
  <si>
    <t>DLF LIMITED</t>
  </si>
  <si>
    <t>DRREDDY</t>
  </si>
  <si>
    <t>https://www.nseindia.com/live_market/dynaContent/live_watch/option_chain/optionKeys.jsp?symbolCode=251&amp;symbol=DRREDDY&amp;symbol=DRREDDY&amp;instrument=OPTSTK&amp;date=-&amp;segmentLink=17&amp;segmentLink=17</t>
  </si>
  <si>
    <t>DR REDDY'S LABORATORIES LIMITED</t>
  </si>
  <si>
    <t>EICHERMOT</t>
  </si>
  <si>
    <t>https://www.nseindia.com/live_market/dynaContent/live_watch/option_chain/optionKeys.jsp?symbolCode=449&amp;symbol=EICHERMOT&amp;symbol=EICHERMOT&amp;instrument=OPTSTK&amp;date=-&amp;segmentLink=17&amp;segmentLink=17</t>
  </si>
  <si>
    <t>EICHER MOTORS LIMITED</t>
  </si>
  <si>
    <t>EQUITAS</t>
  </si>
  <si>
    <t>https://www.nseindia.com/live_market/dynaContent/live_watch/option_chain/optionKeys.jsp?symbolCode=13723&amp;symbol=EQUITAS&amp;symbol=EQUITAS&amp;instrument=OPTSTK&amp;date=-&amp;segmentLink=17&amp;segmentLink=17</t>
  </si>
  <si>
    <t>EQUITAS HOLDINGS LIMITED</t>
  </si>
  <si>
    <t>ESCORTS</t>
  </si>
  <si>
    <t>https://www.nseindia.com/live_market/dynaContent/live_watch/option_chain/optionKeys.jsp?symbolCode=224&amp;symbol=ESCORTS&amp;symbol=ESCORTS&amp;instrument=OPTSTK&amp;date=-&amp;segmentLink=17&amp;segmentLink=17</t>
  </si>
  <si>
    <t>ESCORTS LIMITED</t>
  </si>
  <si>
    <t>EXIDEIND</t>
  </si>
  <si>
    <t>https://www.nseindia.com/live_market/dynaContent/live_watch/option_chain/optionKeys.jsp?symbolCode=129&amp;symbol=EXIDEIND&amp;symbol=EXIDEIND&amp;instrument=OPTSTK&amp;date=-&amp;segmentLink=17&amp;segmentLink=17</t>
  </si>
  <si>
    <t>EXIDE INDUSTRIES LIMITED</t>
  </si>
  <si>
    <t>GAIL</t>
  </si>
  <si>
    <t>https://www.nseindia.com/live_market/dynaContent/live_watch/option_chain/optionKeys.jsp?symbolCode=1594&amp;symbol=GAIL&amp;symbol=GAIL&amp;instrument=OPTSTK&amp;date=-&amp;segmentLink=17&amp;segmentLink=17</t>
  </si>
  <si>
    <t>GAIL (INDIA) LIMITED</t>
  </si>
  <si>
    <t>GLENMARK</t>
  </si>
  <si>
    <t>https://www.nseindia.com/live_market/dynaContent/live_watch/option_chain/optionKeys.jsp?symbolCode=1853&amp;symbol=GLENMARK&amp;symbol=GLENMARK&amp;instrument=OPTSTK&amp;date=-&amp;segmentLink=17&amp;segmentLink=17</t>
  </si>
  <si>
    <t>GLENMARK PHARMACEUTICALS LIMITED</t>
  </si>
  <si>
    <t>GMRINFRA</t>
  </si>
  <si>
    <t>https://www.nseindia.com/live_market/dynaContent/live_watch/option_chain/optionKeys.jsp?symbolCode=2419&amp;symbol=GMRINFRA&amp;symbol=GMRINFRA&amp;instrument=OPTSTK&amp;date=-&amp;segmentLink=17&amp;segmentLink=17</t>
  </si>
  <si>
    <t>GMR INFRASTRUCTURE LIMITED</t>
  </si>
  <si>
    <t>GODREJCP</t>
  </si>
  <si>
    <t>https://www.nseindia.com/live_market/dynaContent/live_watch/option_chain/optionKeys.jsp?symbolCode=1983&amp;symbol=GODREJCP&amp;symbol=GODREJCP&amp;instrument=OPTSTK&amp;date=-&amp;segmentLink=17&amp;segmentLink=17</t>
  </si>
  <si>
    <t>GODREJ CONSUMER PRODUCTS LIMITED</t>
  </si>
  <si>
    <t>GRASIM</t>
  </si>
  <si>
    <t>https://www.nseindia.com/live_market/dynaContent/live_watch/option_chain/optionKeys.jsp?symbolCode=1234&amp;symbol=GRASIM&amp;symbol=GRASIM&amp;instrument=OPTSTK&amp;date=-&amp;segmentLink=17&amp;segmentLink=17</t>
  </si>
  <si>
    <t>GRASIM INDUSTRIES LIMITED</t>
  </si>
  <si>
    <t>HAVELLS</t>
  </si>
  <si>
    <t>https://www.nseindia.com/live_market/dynaContent/live_watch/option_chain/optionKeys.jsp?symbolCode=1931&amp;symbol=HAVELLS&amp;symbol=HAVELLS&amp;instrument=OPTSTK&amp;date=-&amp;segmentLink=17&amp;segmentLink=17</t>
  </si>
  <si>
    <t>HAVELLS INDIA LIMITED</t>
  </si>
  <si>
    <t>HCLTECH</t>
  </si>
  <si>
    <t>https://www.nseindia.com/live_market/dynaContent/live_watch/option_chain/optionKeys.jsp?symbolCode=1828&amp;symbol=HCLTECH&amp;symbol=HCLTECH&amp;instrument=OPTSTK&amp;date=-&amp;segmentLink=17&amp;segmentLink=17</t>
  </si>
  <si>
    <t>HCL TECHNOLOGIES LIMITED</t>
  </si>
  <si>
    <t>HDFC</t>
  </si>
  <si>
    <t>https://www.nseindia.com/live_market/dynaContent/live_watch/option_chain/optionKeys.jsp?symbolCode=798&amp;symbol=HDFC&amp;symbol=HDFC&amp;instrument=OPTSTK&amp;date=-&amp;segmentLink=17&amp;segmentLink=17</t>
  </si>
  <si>
    <t>HOUSING DEVELOPMENT FINANCE CORPORATION LIMITED</t>
  </si>
  <si>
    <t>3,76,163.00</t>
  </si>
  <si>
    <t>HEROMOTOCO</t>
  </si>
  <si>
    <t>https://www.nseindia.com/live_market/dynaContent/live_watch/option_chain/optionKeys.jsp?symbolCode=795&amp;symbol=HEROMOTOCO&amp;symbol=HEROMOTOCO&amp;instrument=OPTSTK&amp;date=-&amp;segmentLink=17&amp;segmentLink=17</t>
  </si>
  <si>
    <t>HERO MOTOCORP LIMITED</t>
  </si>
  <si>
    <t>HINDALCO</t>
  </si>
  <si>
    <t>https://www.nseindia.com/live_market/dynaContent/live_watch/option_chain/optionKeys.jsp?symbolCode=1230&amp;symbol=HINDALCO&amp;symbol=HINDALCO&amp;instrument=OPTSTK&amp;date=-&amp;segmentLink=17&amp;segmentLink=17</t>
  </si>
  <si>
    <t>HINDALCO INDUSTRIES LIMITED</t>
  </si>
  <si>
    <t>HINDPETRO</t>
  </si>
  <si>
    <t>https://www.nseindia.com/live_market/dynaContent/live_watch/option_chain/optionKeys.jsp?symbolCode=221&amp;symbol=HINDPETRO&amp;symbol=HINDPETRO&amp;instrument=OPTSTK&amp;date=-&amp;segmentLink=17&amp;segmentLink=17</t>
  </si>
  <si>
    <t>HINDUSTAN PETROLEUM CORPORATION LIMITED</t>
  </si>
  <si>
    <t>HINDUNILVR</t>
  </si>
  <si>
    <t>https://www.nseindia.com/live_market/dynaContent/live_watch/option_chain/optionKeys.jsp?symbolCode=1232&amp;symbol=HINDUNILVR&amp;symbol=HINDUNILVR&amp;instrument=OPTSTK&amp;date=-&amp;segmentLink=17&amp;segmentLink=17</t>
  </si>
  <si>
    <t>HINDUSTAN UNILEVER LIMITED</t>
  </si>
  <si>
    <t>1,54,268.51</t>
  </si>
  <si>
    <t>IBULHSGFIN</t>
  </si>
  <si>
    <t>https://www.nseindia.com/live_market/dynaContent/live_watch/option_chain/optionKeys.jsp?symbolCode=7057&amp;symbol=IBULHSGFIN&amp;symbol=IBULHSGFIN&amp;instrument=OPTSTK&amp;date=-&amp;segmentLink=17&amp;segmentLink=17</t>
  </si>
  <si>
    <t>INDIABULLS HOUSING FINANCE LIMITED</t>
  </si>
  <si>
    <t>ICICIPRULI</t>
  </si>
  <si>
    <t>https://www.nseindia.com/live_market/dynaContent/live_watch/option_chain/optionKeys.jsp?symbolCode=14257&amp;symbol=ICICIPRULI&amp;symbol=ICICIPRULI&amp;instrument=OPTSTK&amp;date=-&amp;segmentLink=17&amp;segmentLink=17</t>
  </si>
  <si>
    <t>ICICI PRUDENTIAL LIFE INSURANCE COMPANY LIMITED</t>
  </si>
  <si>
    <t>IDEA</t>
  </si>
  <si>
    <t>https://www.nseindia.com/live_market/dynaContent/live_watch/option_chain/optionKeys.jsp?symbolCode=2548&amp;symbol=IDEA&amp;symbol=IDEA&amp;instrument=OPTSTK&amp;date=-&amp;segmentLink=17&amp;segmentLink=17</t>
  </si>
  <si>
    <t>VODAFONE IDEA LIMITED</t>
  </si>
  <si>
    <t>IGL</t>
  </si>
  <si>
    <t>https://www.nseindia.com/live_market/dynaContent/live_watch/option_chain/optionKeys.jsp?symbolCode=2164&amp;symbol=IGL&amp;symbol=IGL&amp;instrument=OPTSTK&amp;date=-&amp;segmentLink=17&amp;segmentLink=17</t>
  </si>
  <si>
    <t>INDRAPRASTHA GAS LIMITED</t>
  </si>
  <si>
    <t>INDIGO</t>
  </si>
  <si>
    <t>https://www.nseindia.com/live_market/dynaContent/live_watch/option_chain/optionKeys.jsp?symbolCode=13226&amp;symbol=INDIGO&amp;symbol=INDIGO&amp;instrument=OPTSTK&amp;date=-&amp;segmentLink=17&amp;segmentLink=17</t>
  </si>
  <si>
    <t>INTERGLOBE AVIATION LIMITED</t>
  </si>
  <si>
    <t>INFRATEL</t>
  </si>
  <si>
    <t>https://www.nseindia.com/live_market/dynaContent/live_watch/option_chain/optionKeys.jsp?symbolCode=6258&amp;symbol=INFRATEL&amp;symbol=INFRATEL&amp;instrument=OPTSTK&amp;date=-&amp;segmentLink=17&amp;segmentLink=17</t>
  </si>
  <si>
    <t>BHARTI INFRATEL LIMITED</t>
  </si>
  <si>
    <t>INFY</t>
  </si>
  <si>
    <t>https://www.nseindia.com/live_market/dynaContent/live_watch/option_chain/optionKeys.jsp?symbolCode=180&amp;symbol=INFY&amp;symbol=INFY&amp;instrument=OPTSTK&amp;date=-&amp;segmentLink=17&amp;segmentLink=17</t>
  </si>
  <si>
    <t>INFOSYS LIMITED</t>
  </si>
  <si>
    <t>2,71,392.72</t>
  </si>
  <si>
    <t>IOC</t>
  </si>
  <si>
    <t>https://www.nseindia.com/live_market/dynaContent/live_watch/option_chain/optionKeys.jsp?symbolCode=854&amp;symbol=IOC&amp;symbol=IOC&amp;instrument=OPTSTK&amp;date=-&amp;segmentLink=17&amp;segmentLink=17</t>
  </si>
  <si>
    <t>INDIAN OIL CORPORATION LIMITED</t>
  </si>
  <si>
    <t>ITC</t>
  </si>
  <si>
    <t>https://www.nseindia.com/live_market/dynaContent/live_watch/option_chain/optionKeys.jsp?symbolCode=818&amp;symbol=ITC&amp;symbol=ITC&amp;instrument=OPTSTK&amp;date=-&amp;segmentLink=17&amp;segmentLink=17</t>
  </si>
  <si>
    <t>ITC LIMITED</t>
  </si>
  <si>
    <t>1,28,599.48</t>
  </si>
  <si>
    <t>JINDALSTEL</t>
  </si>
  <si>
    <t>https://www.nseindia.com/live_market/dynaContent/live_watch/option_chain/optionKeys.jsp?symbolCode=1816&amp;symbol=JINDALSTEL&amp;symbol=JINDALSTEL&amp;instrument=OPTSTK&amp;date=-&amp;segmentLink=17&amp;segmentLink=17</t>
  </si>
  <si>
    <t>JINDAL STEEL &amp; POWER LIMITED</t>
  </si>
  <si>
    <t>JSWSTEEL</t>
  </si>
  <si>
    <t>https://www.nseindia.com/live_market/dynaContent/live_watch/option_chain/optionKeys.jsp?symbolCode=2266&amp;symbol=JSWSTEEL&amp;symbol=JSWSTEEL&amp;instrument=OPTSTK&amp;date=-&amp;segmentLink=17&amp;segmentLink=17</t>
  </si>
  <si>
    <t>JSW STEEL LIMITED</t>
  </si>
  <si>
    <t>JUBLFOOD</t>
  </si>
  <si>
    <t>https://www.nseindia.com/live_market/dynaContent/live_watch/option_chain/optionKeys.jsp?symbolCode=3061&amp;symbol=JUBLFOOD&amp;symbol=JUBLFOOD&amp;instrument=OPTSTK&amp;date=-&amp;segmentLink=17&amp;segmentLink=17</t>
  </si>
  <si>
    <t>JUBILANT FOODWORKS LIMITED</t>
  </si>
  <si>
    <t>JUSTDIAL</t>
  </si>
  <si>
    <t>https://www.nseindia.com/live_market/dynaContent/live_watch/option_chain/optionKeys.jsp?symbolCode=6951&amp;symbol=JUSTDIAL&amp;symbol=JUSTDIAL&amp;instrument=OPTSTK&amp;date=-&amp;segmentLink=17&amp;segmentLink=17</t>
  </si>
  <si>
    <t>JUST DIAL LIMITED</t>
  </si>
  <si>
    <t>L%26TFH</t>
  </si>
  <si>
    <t>https://www1.nseindia.com/live_market/dynaContent/live_watch/option_chain/optionKeys.jsp?symbolCode=5123&amp;symbol=L%26TFH&amp;symbol=L%26TFH&amp;instrument=-&amp;date=-&amp;segmentLink=17&amp;symbolCount=2&amp;segmentLink=17</t>
  </si>
  <si>
    <t>L&amp;T FINANCE HOLDINGS LIMITED</t>
  </si>
  <si>
    <t>LICHSGFIN</t>
  </si>
  <si>
    <t>https://www.nseindia.com/live_market/dynaContent/live_watch/option_chain/optionKeys.jsp?symbolCode=946&amp;symbol=LICHSGFIN&amp;symbol=LICHSGFIN&amp;instrument=OPTSTK&amp;date=-&amp;segmentLink=17&amp;segmentLink=17</t>
  </si>
  <si>
    <t>LIC HOUSING FINANCE LIMITED</t>
  </si>
  <si>
    <t>LT</t>
  </si>
  <si>
    <t>https://www.nseindia.com/live_market/dynaContent/live_watch/option_chain/optionKeys.jsp?symbolCode=2203&amp;symbol=LT&amp;symbol=LT&amp;instrument=OPTSTK&amp;date=-&amp;segmentLink=17&amp;segmentLink=17</t>
  </si>
  <si>
    <t>LARSEN &amp; TOUBRO LIMITED</t>
  </si>
  <si>
    <t>1,43,388.75</t>
  </si>
  <si>
    <t>LUPIN</t>
  </si>
  <si>
    <t>https://www.nseindia.com/live_market/dynaContent/live_watch/option_chain/optionKeys.jsp?symbolCode=1988&amp;symbol=LUPIN&amp;symbol=LUPIN&amp;instrument=OPTSTK&amp;date=-&amp;segmentLink=17&amp;segmentLink=17</t>
  </si>
  <si>
    <t>LUPIN LIMITED</t>
  </si>
  <si>
    <t>M%26M</t>
  </si>
  <si>
    <t>https://www1.nseindia.com/live_market/dynaContent/live_watch/option_chain/optionKeys.jsp?symbolCode=679&amp;symbol=M%26M&amp;symbol=M%26M&amp;instrument=OPTSTK&amp;date=-&amp;segmentLink=17&amp;segmentLink=17</t>
  </si>
  <si>
    <t>MAHINDRA &amp; MAHINDRA LIMITED</t>
  </si>
  <si>
    <t>MANAPPURAM</t>
  </si>
  <si>
    <t>https://www.nseindia.com/live_market/dynaContent/live_watch/option_chain/optionKeys.jsp?symbolCode=3317&amp;symbol=MANAPPURAM&amp;symbol=MANAPPURAM&amp;instrument=OPTSTK&amp;date=-&amp;segmentLink=17&amp;segmentLink=17</t>
  </si>
  <si>
    <t>MANAPPURAM FINANCE LIMITED</t>
  </si>
  <si>
    <t>MARICO</t>
  </si>
  <si>
    <t>https://www.nseindia.com/live_market/dynaContent/live_watch/option_chain/optionKeys.jsp?symbolCode=1355&amp;symbol=MARICO&amp;symbol=MARICO&amp;instrument=OPTSTK&amp;date=-&amp;segmentLink=17&amp;segmentLink=17</t>
  </si>
  <si>
    <t>MARICO LIMITED</t>
  </si>
  <si>
    <t>MARUTI</t>
  </si>
  <si>
    <t>https://www.nseindia.com/live_market/dynaContent/live_watch/option_chain/optionKeys.jsp?symbolCode=2143&amp;symbol=MARUTI&amp;symbol=MARUTI&amp;instrument=OPTSTK&amp;date=-&amp;segmentLink=17&amp;segmentLink=17</t>
  </si>
  <si>
    <t>MARUTI SUZUKI INDIA LIMITED</t>
  </si>
  <si>
    <t>MCDOWELL-N</t>
  </si>
  <si>
    <t>https://www.nseindia.com/live_market/dynaContent/live_watch/option_chain/optionKeys.jsp?symbolCode=1989&amp;symbol=MCDOWELL-N&amp;symbol=MCDOWELL-N&amp;instrument=OPTSTK&amp;date=-&amp;segmentLink=17&amp;segmentLink=17</t>
  </si>
  <si>
    <t>UNITED SPIRITS LIMITED</t>
  </si>
  <si>
    <t>MFSL</t>
  </si>
  <si>
    <t>https://www.nseindia.com/live_market/dynaContent/live_watch/option_chain/optionKeys.jsp?symbolCode=1193&amp;symbol=MFSL&amp;symbol=MFSL&amp;instrument=OPTSTK&amp;date=-&amp;segmentLink=17&amp;segmentLink=17</t>
  </si>
  <si>
    <t>MAX FINANCIAL SERVICES LIMITED</t>
  </si>
  <si>
    <t>MGL</t>
  </si>
  <si>
    <t>https://www.nseindia.com/live_market/dynaContent/live_watch/option_chain/optionKeys.jsp?symbolCode=13963&amp;symbol=MGL&amp;symbol=MGL&amp;instrument=OPTSTK&amp;date=-&amp;segmentLink=17&amp;segmentLink=17</t>
  </si>
  <si>
    <t>MAHANAGAR GAS LIMITED</t>
  </si>
  <si>
    <t>MINDTREE</t>
  </si>
  <si>
    <t>https://www.nseindia.com/live_market/dynaContent/live_watch/option_chain/optionKeys.jsp?symbolCode=2541&amp;symbol=MINDTREE&amp;symbol=MINDTREE&amp;instrument=OPTSTK&amp;date=-&amp;segmentLink=17&amp;segmentLink=17</t>
  </si>
  <si>
    <t>MINDTREE LIMITED</t>
  </si>
  <si>
    <t>MOTHERSUMI</t>
  </si>
  <si>
    <t>https://www.nseindia.com/live_market/dynaContent/live_watch/option_chain/optionKeys.jsp?symbolCode=1385&amp;symbol=MOTHERSUMI&amp;symbol=MOTHERSUMI&amp;instrument=OPTSTK&amp;date=-&amp;segmentLink=17&amp;segmentLink=17</t>
  </si>
  <si>
    <t>MOTHERSON SUMI SYSTEMS LIMITED</t>
  </si>
  <si>
    <t>MRF</t>
  </si>
  <si>
    <t>https://www.nseindia.com/live_market/dynaContent/live_watch/option_chain/optionKeys.jsp?symbolCode=1310&amp;symbol=MRF&amp;symbol=MRF&amp;instrument=OPTSTK&amp;date=-&amp;segmentLink=17&amp;segmentLink=17</t>
  </si>
  <si>
    <t>MRF LIMITED</t>
  </si>
  <si>
    <t>MUTHOOTFIN</t>
  </si>
  <si>
    <t>https://www.nseindia.com/live_market/dynaContent/live_watch/option_chain/optionKeys.jsp?symbolCode=4732&amp;symbol=MUTHOOTFIN&amp;symbol=MUTHOOTFIN&amp;instrument=OPTSTK&amp;date=-&amp;segmentLink=17&amp;segmentLink=17</t>
  </si>
  <si>
    <t>MUTHOOT FINANCE LIMITED</t>
  </si>
  <si>
    <t>NATIONALUM</t>
  </si>
  <si>
    <t>https://www.nseindia.com/live_market/dynaContent/live_watch/option_chain/optionKeys.jsp?symbolCode=1789&amp;symbol=NATIONALUM&amp;symbol=NATIONALUM&amp;instrument=OPTSTK&amp;date=-&amp;segmentLink=17&amp;segmentLink=17</t>
  </si>
  <si>
    <t>NATIONAL ALUMINIUM COMPANY LIMITED</t>
  </si>
  <si>
    <t>NBCC</t>
  </si>
  <si>
    <t>https://www.nseindia.com/live_market/dynaContent/live_watch/option_chain/optionKeys.jsp?symbolCode=5846&amp;symbol=NBCC&amp;symbol=NBCC&amp;instrument=OPTSTK&amp;date=-&amp;segmentLink=17&amp;segmentLink=17</t>
  </si>
  <si>
    <t>NBCC (INDIA) LIMITED</t>
  </si>
  <si>
    <t>NCC</t>
  </si>
  <si>
    <t>https://www.nseindia.com/live_market/dynaContent/live_watch/option_chain/optionKeys.jsp?symbolCode=917&amp;symbol=NCC&amp;symbol=NCC&amp;instrument=OPTSTK&amp;date=-&amp;segmentLink=17&amp;segmentLink=17</t>
  </si>
  <si>
    <t>NCC LIMITED</t>
  </si>
  <si>
    <t>NESTLEIND</t>
  </si>
  <si>
    <t>https://www.nseindia.com/live_market/dynaContent/live_watch/option_chain/optionKeys.jsp?symbolCode=3034&amp;symbol=NESTLEIND&amp;symbol=NESTLEIND&amp;instrument=OPTSTK&amp;date=-&amp;segmentLink=17&amp;segmentLink=17</t>
  </si>
  <si>
    <t>NESTLE INDIA LIMITED</t>
  </si>
  <si>
    <t>NIITTECH</t>
  </si>
  <si>
    <t>https://www.nseindia.com/live_market/dynaContent/live_watch/option_chain/optionKeys.jsp?symbolCode=2213&amp;symbol=NIITTECH&amp;symbol=NIITTECH&amp;instrument=OPTSTK&amp;date=-&amp;segmentLink=17&amp;segmentLink=17</t>
  </si>
  <si>
    <t>NIIT TECHNOLOGIES LIMITED</t>
  </si>
  <si>
    <t>NMDC</t>
  </si>
  <si>
    <t>https://www.nseindia.com/live_market/dynaContent/live_watch/option_chain/optionKeys.jsp?symbolCode=2729&amp;symbol=NMDC&amp;symbol=NMDC&amp;instrument=OPTSTK&amp;date=-&amp;segmentLink=17&amp;segmentLink=17</t>
  </si>
  <si>
    <t>NMDC LIMITED</t>
  </si>
  <si>
    <t>NTPC</t>
  </si>
  <si>
    <t>https://www.nseindia.com/live_market/dynaContent/live_watch/option_chain/optionKeys.jsp?symbolCode=2249&amp;symbol=NTPC&amp;symbol=NTPC&amp;instrument=OPTSTK&amp;date=-&amp;segmentLink=17&amp;segmentLink=17</t>
  </si>
  <si>
    <t>NTPC LIMITED</t>
  </si>
  <si>
    <t>OIL</t>
  </si>
  <si>
    <t>https://www.nseindia.com/live_market/dynaContent/live_watch/option_chain/optionKeys.jsp?symbolCode=2906&amp;symbol=OIL&amp;symbol=OIL&amp;instrument=OPTSTK&amp;date=-&amp;segmentLink=17&amp;segmentLink=17</t>
  </si>
  <si>
    <t>OIL INDIA LIMITED</t>
  </si>
  <si>
    <t>ONGC</t>
  </si>
  <si>
    <t>https://www.nseindia.com/live_market/dynaContent/live_watch/option_chain/optionKeys.jsp?symbolCode=467&amp;symbol=ONGC&amp;symbol=ONGC&amp;instrument=OPTSTK&amp;date=-&amp;segmentLink=17&amp;segmentLink=17</t>
  </si>
  <si>
    <t>OIL &amp; NATURAL GAS CORPORATION LIMITED</t>
  </si>
  <si>
    <t>PAGEIND</t>
  </si>
  <si>
    <t>https://www.nseindia.com/live_market/dynaContent/live_watch/option_chain/optionKeys.jsp?symbolCode=2552&amp;symbol=PAGEIND&amp;symbol=PAGEIND&amp;instrument=OPTSTK&amp;date=-&amp;segmentLink=17&amp;segmentLink=17</t>
  </si>
  <si>
    <t>PAGE INDUSTRIES LIMITED</t>
  </si>
  <si>
    <t>PETRONET</t>
  </si>
  <si>
    <t>https://www.nseindia.com/live_market/dynaContent/live_watch/option_chain/optionKeys.jsp?symbolCode=2178&amp;symbol=PETRONET&amp;symbol=PETRONET&amp;instrument=OPTSTK&amp;date=-&amp;segmentLink=17&amp;segmentLink=17</t>
  </si>
  <si>
    <t>PETRONET LNG LIMITED</t>
  </si>
  <si>
    <t>PFC</t>
  </si>
  <si>
    <t>https://www.nseindia.com/live_market/dynaContent/live_watch/option_chain/optionKeys.jsp?symbolCode=2536&amp;symbol=PFC&amp;symbol=PFC&amp;instrument=OPTSTK&amp;date=-&amp;segmentLink=17&amp;segmentLink=17</t>
  </si>
  <si>
    <t>POWER FINANCE CORPORATION LIMITED</t>
  </si>
  <si>
    <t>PIDILITIND</t>
  </si>
  <si>
    <t>https://www.nseindia.com/live_market/dynaContent/live_watch/option_chain/optionKeys.jsp?symbolCode=719&amp;symbol=PIDILITIND&amp;symbol=PIDILITIND&amp;instrument=OPTSTK&amp;date=-&amp;segmentLink=17&amp;segmentLink=17</t>
  </si>
  <si>
    <t>PIDILITE INDUSTRIES LIMITED</t>
  </si>
  <si>
    <t>POWERGRID</t>
  </si>
  <si>
    <t>https://www.nseindia.com/live_market/dynaContent/live_watch/option_chain/optionKeys.jsp?symbolCode=2660&amp;symbol=POWERGRID&amp;symbol=POWERGRID&amp;instrument=OPTSTK&amp;date=-&amp;segmentLink=17&amp;segmentLink=17</t>
  </si>
  <si>
    <t>POWER GRID CORPORATION OF INDIA LIMITED</t>
  </si>
  <si>
    <t>PVR</t>
  </si>
  <si>
    <t>https://www.nseindia.com/live_market/dynaContent/live_watch/option_chain/optionKeys.jsp?symbolCode=2348&amp;symbol=PVR&amp;symbol=PVR&amp;instrument=OPTSTK&amp;date=-&amp;segmentLink=17&amp;segmentLink=17</t>
  </si>
  <si>
    <t>PVR LIMITED</t>
  </si>
  <si>
    <t>RAMCOCEM</t>
  </si>
  <si>
    <t>https://www.nseindia.com/live_market/dynaContent/live_watch/option_chain/optionKeys.jsp?symbolCode=289&amp;symbol=RAMCOCEM&amp;symbol=RAMCOCEM&amp;instrument=OPTSTK&amp;date=-&amp;segmentLink=17&amp;segmentLink=17</t>
  </si>
  <si>
    <t>THE RAMCO CEMENTS LIMITED</t>
  </si>
  <si>
    <t>RECLTD</t>
  </si>
  <si>
    <t>https://www.nseindia.com/live_market/dynaContent/live_watch/option_chain/optionKeys.jsp?symbolCode=2733&amp;symbol=RECLTD&amp;symbol=RECLTD&amp;instrument=OPTSTK&amp;date=-&amp;segmentLink=17&amp;segmentLink=17</t>
  </si>
  <si>
    <t>REC LIMITED</t>
  </si>
  <si>
    <t>RELIANCE</t>
  </si>
  <si>
    <t>https://www.nseindia.com/live_market/dynaContent/live_watch/option_chain/optionKeys.jsp?symbolCode=242&amp;symbol=RELIANCE&amp;symbol=RELIANCE&amp;instrument=OPTSTK&amp;date=-&amp;segmentLink=17&amp;segmentLink=17</t>
  </si>
  <si>
    <t>RELIANCE INDUSTRIES LIMITED</t>
  </si>
  <si>
    <t>3,49,894.22</t>
  </si>
  <si>
    <t>SAIL</t>
  </si>
  <si>
    <t>https://www.nseindia.com/live_market/dynaContent/live_watch/option_chain/optionKeys.jsp?symbolCode=746&amp;symbol=SAIL&amp;symbol=SAIL&amp;instrument=OPTSTK&amp;date=-&amp;segmentLink=17&amp;segmentLink=17</t>
  </si>
  <si>
    <t>STEEL AUTHORITY OF INDIA LIMITED</t>
  </si>
  <si>
    <t>SHREECEM</t>
  </si>
  <si>
    <t>https://www.nseindia.com/live_market/dynaContent/live_watch/option_chain/optionKeys.jsp?symbolCode=1220&amp;symbol=SHREECEM&amp;symbol=SHREECEM&amp;instrument=OPTSTK&amp;date=-&amp;segmentLink=17&amp;segmentLink=17</t>
  </si>
  <si>
    <t>SHREE CEMENT LIMITED</t>
  </si>
  <si>
    <t>SIEMENS</t>
  </si>
  <si>
    <t>https://www.nseindia.com/live_market/dynaContent/live_watch/option_chain/optionKeys.jsp?symbolCode=619&amp;symbol=SIEMENS&amp;symbol=SIEMENS&amp;instrument=OPTSTK&amp;date=-&amp;segmentLink=17&amp;segmentLink=17</t>
  </si>
  <si>
    <t>SIEMENS LIMITED</t>
  </si>
  <si>
    <t>SRF</t>
  </si>
  <si>
    <t>https://www.nseindia.com/live_market/dynaContent/live_watch/option_chain/optionKeys.jsp?symbolCode=323&amp;symbol=SRF&amp;symbol=SRF&amp;instrument=OPTSTK&amp;date=-&amp;segmentLink=17&amp;segmentLink=17</t>
  </si>
  <si>
    <t>SRF LIMITED</t>
  </si>
  <si>
    <t>SRTRANSFIN</t>
  </si>
  <si>
    <t>https://www.nseindia.com/live_market/dynaContent/live_watch/option_chain/optionKeys.jsp?symbolCode=1464&amp;symbol=SRTRANSFIN&amp;symbol=SRTRANSFIN&amp;instrument=OPTSTK&amp;date=-&amp;segmentLink=17&amp;segmentLink=17</t>
  </si>
  <si>
    <t>SHRIRAM TRANSPORT FINANCE COMPANY LIMITED</t>
  </si>
  <si>
    <t>SUNPHARMA</t>
  </si>
  <si>
    <t>https://www.nseindia.com/live_market/dynaContent/live_watch/option_chain/optionKeys.jsp?symbolCode=370&amp;symbol=SUNPHARMA&amp;symbol=SUNPHARMA&amp;instrument=OPTSTK&amp;date=-&amp;segmentLink=17&amp;segmentLink=17</t>
  </si>
  <si>
    <t>SUN PHARMACEUTICAL INDUSTRIES LIMITED</t>
  </si>
  <si>
    <t>SUNTV</t>
  </si>
  <si>
    <t>https://www.nseindia.com/live_market/dynaContent/live_watch/option_chain/optionKeys.jsp?symbolCode=2396&amp;symbol=SUNTV&amp;symbol=SUNTV&amp;instrument=OPTSTK&amp;date=-&amp;segmentLink=17&amp;segmentLink=17</t>
  </si>
  <si>
    <t>SUN TV NETWORK LIMITED</t>
  </si>
  <si>
    <t>TATACHEM</t>
  </si>
  <si>
    <t>https://www.nseindia.com/live_market/dynaContent/live_watch/option_chain/optionKeys.jsp?symbolCode=303&amp;symbol=TATACHEM&amp;symbol=TATACHEM&amp;instrument=OPTSTK&amp;date=-&amp;segmentLink=17&amp;segmentLink=17</t>
  </si>
  <si>
    <t>TATA CHEMICALS LIMITED</t>
  </si>
  <si>
    <t>TATAGLOBAL</t>
  </si>
  <si>
    <t>https://www.nseindia.com/live_market/dynaContent/live_watch/option_chain/optionKeys.jsp?symbolCode=1098&amp;symbol=TATAGLOBAL&amp;symbol=TATAGLOBAL&amp;instrument=OPTSTK&amp;date=-&amp;segmentLink=17&amp;segmentLink=17</t>
  </si>
  <si>
    <t>TATA GLOBAL BEVERAGES LIMITED</t>
  </si>
  <si>
    <t>TATAMOTORS</t>
  </si>
  <si>
    <t>https://www.nseindia.com/live_market/dynaContent/live_watch/option_chain/optionKeys.jsp?symbolCode=211&amp;symbol=TATAMOTORS&amp;symbol=TATAMOTORS&amp;instrument=OPTSTK&amp;date=-&amp;segmentLink=17&amp;segmentLink=17</t>
  </si>
  <si>
    <t>TATA MOTORS LIMITED</t>
  </si>
  <si>
    <t>TATAMTRDVR</t>
  </si>
  <si>
    <t>https://www.nseindia.com/live_market/dynaContent/live_watch/option_chain/optionKeys.jsp?symbolCode=2789&amp;symbol=TATAMTRDVR&amp;symbol=TATAMTRDVR&amp;instrument=OPTSTK&amp;date=-&amp;segmentLink=17&amp;segmentLink=17</t>
  </si>
  <si>
    <t>TATAPOWER</t>
  </si>
  <si>
    <t>https://www.nseindia.com/live_market/dynaContent/live_watch/option_chain/optionKeys.jsp?symbolCode=590&amp;symbol=TATAPOWER&amp;symbol=TATAPOWER&amp;instrument=OPTSTK&amp;date=-&amp;segmentLink=17&amp;segmentLink=17</t>
  </si>
  <si>
    <t>TATA POWER COMPANY LIMITED</t>
  </si>
  <si>
    <t>TATASTEEL</t>
  </si>
  <si>
    <t>https://www.nseindia.com/live_market/dynaContent/live_watch/option_chain/optionKeys.jsp?symbolCode=234&amp;symbol=TATASTEEL&amp;symbol=TATASTEEL&amp;instrument=OPTSTK&amp;date=-&amp;segmentLink=17&amp;segmentLink=17</t>
  </si>
  <si>
    <t>TATA STEEL LIMITED</t>
  </si>
  <si>
    <t>TCS</t>
  </si>
  <si>
    <t>https://www.nseindia.com/live_market/dynaContent/live_watch/option_chain/optionKeys.jsp?symbolCode=2212&amp;symbol=TCS&amp;symbol=TCS&amp;instrument=OPTSTK&amp;date=-&amp;segmentLink=17&amp;segmentLink=17</t>
  </si>
  <si>
    <t>TATA CONSULTANCY SERVICES LIMITED</t>
  </si>
  <si>
    <t>2,26,539.72</t>
  </si>
  <si>
    <t>TECHM</t>
  </si>
  <si>
    <t>https://www.nseindia.com/live_market/dynaContent/live_watch/option_chain/optionKeys.jsp?symbolCode=2421&amp;symbol=TECHM&amp;symbol=TECHM&amp;instrument=OPTSTK&amp;date=-&amp;segmentLink=17&amp;segmentLink=17</t>
  </si>
  <si>
    <t>TECH MAHINDRA LIMITED</t>
  </si>
  <si>
    <t>TITAN</t>
  </si>
  <si>
    <t>https://www.nseindia.com/live_market/dynaContent/live_watch/option_chain/optionKeys.jsp?symbolCode=233&amp;symbol=TITAN&amp;symbol=TITAN&amp;instrument=OPTSTK&amp;date=-&amp;segmentLink=17&amp;segmentLink=17</t>
  </si>
  <si>
    <t>TITAN COMPANY LIMITED</t>
  </si>
  <si>
    <t>TORNTPHARM</t>
  </si>
  <si>
    <t>https://www.nseindia.com/live_market/dynaContent/live_watch/option_chain/optionKeys.jsp?symbolCode=305&amp;symbol=TORNTPHARM&amp;symbol=TORNTPHARM&amp;instrument=OPTSTK&amp;date=-&amp;segmentLink=17&amp;segmentLink=17</t>
  </si>
  <si>
    <t>TORRENT PHARMACEUTICALS LIMITED</t>
  </si>
  <si>
    <t>TORNTPOWER</t>
  </si>
  <si>
    <t>https://www.nseindia.com/live_market/dynaContent/live_watch/option_chain/optionKeys.jsp?symbolCode=2466&amp;symbol=TORNTPOWER&amp;symbol=TORNTPOWER&amp;instrument=OPTSTK&amp;date=-&amp;segmentLink=17&amp;segmentLink=17</t>
  </si>
  <si>
    <t>TORRENT POWER LIMITED</t>
  </si>
  <si>
    <t>TVSMOTOR</t>
  </si>
  <si>
    <t>https://www.nseindia.com/live_market/dynaContent/live_watch/option_chain/optionKeys.jsp?symbolCode=1900&amp;symbol=TVSMOTOR&amp;symbol=TVSMOTOR&amp;instrument=OPTSTK&amp;date=-&amp;segmentLink=17&amp;segmentLink=17</t>
  </si>
  <si>
    <t>TVS MOTOR COMPANY LIMITED</t>
  </si>
  <si>
    <t>UBL</t>
  </si>
  <si>
    <t>https://www.nseindia.com/live_market/dynaContent/live_watch/option_chain/optionKeys.jsp?symbolCode=2772&amp;symbol=UBL&amp;symbol=UBL&amp;instrument=OPTSTK&amp;date=-&amp;segmentLink=17&amp;segmentLink=17</t>
  </si>
  <si>
    <t>UNITED BREWERIES LIMITED</t>
  </si>
  <si>
    <t>UJJIVAN</t>
  </si>
  <si>
    <t>https://www.nseindia.com/live_market/dynaContent/live_watch/option_chain/optionKeys.jsp?symbolCode=13773&amp;symbol=UJJIVAN&amp;symbol=UJJIVAN&amp;instrument=OPTSTK&amp;date=-&amp;segmentLink=17&amp;segmentLink=17</t>
  </si>
  <si>
    <t>UJJIVAN FINANCIAL SERVICES LIMITED</t>
  </si>
  <si>
    <t>ULTRACEMCO</t>
  </si>
  <si>
    <t>https://www.nseindia.com/live_market/dynaContent/live_watch/option_chain/optionKeys.jsp?symbolCode=2210&amp;symbol=ULTRACEMCO&amp;symbol=ULTRACEMCO&amp;instrument=OPTSTK&amp;date=-&amp;segmentLink=17&amp;segmentLink=17</t>
  </si>
  <si>
    <t>ULTRATECH CEMENT LIMITED</t>
  </si>
  <si>
    <t>UPL</t>
  </si>
  <si>
    <t>https://www.nseindia.com/live_market/dynaContent/live_watch/option_chain/optionKeys.jsp?symbolCode=2170&amp;symbol=UPL&amp;symbol=UPL&amp;instrument=OPTSTK&amp;date=-&amp;segmentLink=17&amp;segmentLink=17</t>
  </si>
  <si>
    <t>UPL LIMITED</t>
  </si>
  <si>
    <t>VEDL</t>
  </si>
  <si>
    <t>https://www.nseindia.com/live_market/dynaContent/live_watch/option_chain/optionKeys.jsp?symbolCode=237&amp;symbol=VEDL&amp;symbol=VEDL&amp;instrument=OPTSTK&amp;date=-&amp;segmentLink=17&amp;segmentLink=17</t>
  </si>
  <si>
    <t>VEDANTA LIMITED</t>
  </si>
  <si>
    <t>VOLTAS</t>
  </si>
  <si>
    <t>https://www.nseindia.com/live_market/dynaContent/live_watch/option_chain/optionKeys.jsp?symbolCode=231&amp;symbol=VOLTAS&amp;symbol=VOLTAS&amp;instrument=OPTSTK&amp;date=-&amp;segmentLink=17&amp;segmentLink=17</t>
  </si>
  <si>
    <t>VOLTAS LIMITED</t>
  </si>
  <si>
    <t>WIPRO</t>
  </si>
  <si>
    <t>https://www.nseindia.com/live_market/dynaContent/live_watch/option_chain/optionKeys.jsp?symbolCode=624&amp;symbol=WIPRO&amp;symbol=WIPRO&amp;instrument=OPTSTK&amp;date=-&amp;segmentLink=17&amp;segmentLink=17</t>
  </si>
  <si>
    <t>WIPRO LIMITED</t>
  </si>
  <si>
    <t>ZEEL</t>
  </si>
  <si>
    <t>https://www.nseindia.com/live_market/dynaContent/live_watch/option_chain/optionKeys.jsp?symbolCode=1105&amp;symbol=ZEEL&amp;symbol=ZEEL&amp;instrument=OPTSTK&amp;date=-&amp;segmentLink=17&amp;segmentLink=17</t>
  </si>
  <si>
    <t>ZEE ENTERTAINMENT ENTERPRISES LIMITED</t>
  </si>
  <si>
    <t>HEXAWARE</t>
  </si>
  <si>
    <t>https://www.nseindia.com/live_market/dynaContent/live_watch/option_chain/optionKeys.jsp?symbolCode=2020&amp;symbol=HEXAWARE&amp;symbol=HEXAWARE&amp;instrument=OPTSTK&amp;date=-&amp;segmentLink=17&amp;segmentLink=17</t>
  </si>
  <si>
    <t>M&amp;MFIN</t>
  </si>
  <si>
    <t>https://www.nseindia.com/live_market/dynaContent/live_watch/option_chain/optionKeys.jsp?symbolCode=2374&amp;symbol=M%26MFIN&amp;symbol=M%26MFIN&amp;instrument=OPTSTK&amp;date=-&amp;segmentLink=17&amp;segmentLink=17</t>
  </si>
  <si>
    <t>PEL</t>
  </si>
  <si>
    <t>https://www.nseindia.com/live_market/dynaContent/live_watch/option_chain/optionKeys.jsp?symbolCode=144&amp;symbol=PEL&amp;symbol=PEL&amp;instrument=OPTSTK&amp;date=-&amp;segmentLink=17&amp;segmentLink=17</t>
  </si>
  <si>
    <t>TATAELXSI</t>
  </si>
  <si>
    <t>https://www.nseindia.com/live_market/dynaContent/live_watch/option_chain/optionKeys.jsp?symbolCode=368&amp;symbol=TATAELXSI&amp;symbol=TATAELXSI&amp;instrument=OPTSTK&amp;date=-&amp;segmentLink=17&amp;segmentLink=17</t>
  </si>
  <si>
    <t>UNIONBANK</t>
  </si>
  <si>
    <t>https://www.nseindia.com/live_market/dynaContent/live_watch/option_chain/optionKeys.jsp?symbolCode=2025&amp;symbol=UNIONBANK&amp;symbol=UNIONBANK&amp;instrument=OPTSTK&amp;date=-&amp;segmentLink=17&amp;segmentLink=17</t>
  </si>
  <si>
    <t>Current Expiry</t>
  </si>
  <si>
    <t>`</t>
  </si>
  <si>
    <t>STOCK</t>
  </si>
  <si>
    <t>FUTURE</t>
  </si>
  <si>
    <t>MAX PAIN</t>
  </si>
  <si>
    <t>NP</t>
  </si>
  <si>
    <t>TP</t>
  </si>
  <si>
    <t>RESISTANCE</t>
  </si>
  <si>
    <t>SUPPORT</t>
  </si>
  <si>
    <t>Prev Close</t>
  </si>
  <si>
    <t>Open</t>
  </si>
  <si>
    <t>High</t>
  </si>
  <si>
    <t>Low</t>
  </si>
  <si>
    <t>Close</t>
  </si>
  <si>
    <t>LTP</t>
  </si>
  <si>
    <t>Volume</t>
  </si>
  <si>
    <t>Max Pain</t>
  </si>
  <si>
    <t>BCE</t>
  </si>
  <si>
    <t>Trend Estimate</t>
  </si>
  <si>
    <t>MAJOR</t>
  </si>
  <si>
    <t>MINOR</t>
  </si>
  <si>
    <t>6,24,17,301</t>
  </si>
  <si>
    <t>2,47,27,759</t>
  </si>
  <si>
    <t>2,46,08,412</t>
  </si>
  <si>
    <t>2,22,29,012</t>
  </si>
  <si>
    <t>6,65,45,735</t>
  </si>
  <si>
    <t>5,19,94,332</t>
  </si>
  <si>
    <t>64,49,061</t>
  </si>
  <si>
    <t>4,02,93,450</t>
  </si>
  <si>
    <t>2,07,34,813</t>
  </si>
  <si>
    <t>3,27,81,065</t>
  </si>
  <si>
    <t>1,48,80,640</t>
  </si>
  <si>
    <t>9,51,60,537</t>
  </si>
  <si>
    <t>78,25,483</t>
  </si>
  <si>
    <t>28,64,843</t>
  </si>
  <si>
    <t>27,71,318</t>
  </si>
  <si>
    <t>1,17,45,146</t>
  </si>
  <si>
    <t>75,20,328</t>
  </si>
  <si>
    <t>5,81,039</t>
  </si>
  <si>
    <t>69,37,627</t>
  </si>
  <si>
    <t>16,41,799</t>
  </si>
  <si>
    <t>25,69,861</t>
  </si>
  <si>
    <t>5,71,55,881</t>
  </si>
  <si>
    <t>21,96,424</t>
  </si>
  <si>
    <t>34,33,906</t>
  </si>
  <si>
    <t>6,06,235</t>
  </si>
  <si>
    <t>7,97,273</t>
  </si>
  <si>
    <t>62,26,366</t>
  </si>
  <si>
    <t>12,35,111</t>
  </si>
  <si>
    <t>6,10,639</t>
  </si>
  <si>
    <t>91,41,035</t>
  </si>
  <si>
    <t>14,10,508</t>
  </si>
  <si>
    <t>32,89,425</t>
  </si>
  <si>
    <t>1,27,16,346</t>
  </si>
  <si>
    <t>1,41,59,337</t>
  </si>
  <si>
    <t>42,07,895</t>
  </si>
  <si>
    <t>74,59,922</t>
  </si>
  <si>
    <t>12,49,005</t>
  </si>
  <si>
    <t>29,27,417</t>
  </si>
  <si>
    <t>19,44,052</t>
  </si>
  <si>
    <t>-</t>
  </si>
  <si>
    <t>27,62,441</t>
  </si>
  <si>
    <t>5,27,497</t>
  </si>
  <si>
    <t>12,50,684</t>
  </si>
  <si>
    <t>34,60,298</t>
  </si>
  <si>
    <t>1,19,60,113</t>
  </si>
  <si>
    <t>6,38,457</t>
  </si>
  <si>
    <t>7,29,164</t>
  </si>
  <si>
    <t>4,32,302</t>
  </si>
  <si>
    <t>34,41,005</t>
  </si>
  <si>
    <t>76,62,840</t>
  </si>
  <si>
    <t>5,57,614</t>
  </si>
  <si>
    <t>1,04,00,591</t>
  </si>
  <si>
    <t>8,88,866</t>
  </si>
  <si>
    <t>3,48,370</t>
  </si>
  <si>
    <t>33,46,923</t>
  </si>
  <si>
    <t>87,51,507</t>
  </si>
  <si>
    <t>24,86,077</t>
  </si>
  <si>
    <t>1,95,21,525</t>
  </si>
  <si>
    <t>15,03,003</t>
  </si>
  <si>
    <t>5,83,58,093</t>
  </si>
  <si>
    <t>26,37,496</t>
  </si>
  <si>
    <t>22,45,349</t>
  </si>
  <si>
    <t>23,33,347</t>
  </si>
  <si>
    <t>63,81,824</t>
  </si>
  <si>
    <t>39,57,634</t>
  </si>
  <si>
    <t>12,07,967</t>
  </si>
  <si>
    <t>1,14,41,351</t>
  </si>
  <si>
    <t>36,37,789</t>
  </si>
  <si>
    <t>17,07,337</t>
  </si>
  <si>
    <t>2,12,42,198</t>
  </si>
  <si>
    <t>20,33,942</t>
  </si>
  <si>
    <t>24,42,09,249</t>
  </si>
  <si>
    <t>21,17,259</t>
  </si>
  <si>
    <t>31,63,264</t>
  </si>
  <si>
    <t>55,93,236</t>
  </si>
  <si>
    <t>98,21,523</t>
  </si>
  <si>
    <t>1,80,88,609</t>
  </si>
  <si>
    <t>6,25,06,221</t>
  </si>
  <si>
    <t>1,25,49,140</t>
  </si>
  <si>
    <t>1,08,65,535</t>
  </si>
  <si>
    <t>19,42,414</t>
  </si>
  <si>
    <t>22,55,435</t>
  </si>
  <si>
    <t>1,39,51,164</t>
  </si>
  <si>
    <t>54,72,696</t>
  </si>
  <si>
    <t>31,77,486</t>
  </si>
  <si>
    <t>24,08,228</t>
  </si>
  <si>
    <t>92,25,488</t>
  </si>
  <si>
    <t>60,91,156</t>
  </si>
  <si>
    <t>41,85,685</t>
  </si>
  <si>
    <t>12,19,764</t>
  </si>
  <si>
    <t>23,11,007</t>
  </si>
  <si>
    <t>27,42,411</t>
  </si>
  <si>
    <t>5,77,674</t>
  </si>
  <si>
    <t>14,35,593</t>
  </si>
  <si>
    <t>2,61,44,622</t>
  </si>
  <si>
    <t>28,91,530</t>
  </si>
  <si>
    <t>88,32,483</t>
  </si>
  <si>
    <t>87,39,729</t>
  </si>
  <si>
    <t>3,67,63,012</t>
  </si>
  <si>
    <t>1,17,232</t>
  </si>
  <si>
    <t>14,11,779</t>
  </si>
  <si>
    <t>71,50,803</t>
  </si>
  <si>
    <t>5,85,02,396</t>
  </si>
  <si>
    <t>24,29,016</t>
  </si>
  <si>
    <t>2,86,39,667</t>
  </si>
  <si>
    <t>30,88,688</t>
  </si>
  <si>
    <t>71,87,251</t>
  </si>
  <si>
    <t>3,33,649</t>
  </si>
  <si>
    <t>96,26,434</t>
  </si>
  <si>
    <t>2,89,698</t>
  </si>
  <si>
    <t>2,17,458</t>
  </si>
  <si>
    <t>38,82,682</t>
  </si>
  <si>
    <t>3,34,33,126</t>
  </si>
  <si>
    <t>1,89,75,185</t>
  </si>
  <si>
    <t>5,54,695</t>
  </si>
  <si>
    <t>2,08,945</t>
  </si>
  <si>
    <t>18,15,299</t>
  </si>
  <si>
    <t>1,21,46,582</t>
  </si>
  <si>
    <t>21,90,693</t>
  </si>
  <si>
    <t>25,79,106</t>
  </si>
  <si>
    <t>28,08,589</t>
  </si>
  <si>
    <t>6,81,24,538</t>
  </si>
  <si>
    <t>78,26,440</t>
  </si>
  <si>
    <t>1,45,58,176</t>
  </si>
  <si>
    <t>2,44,17,974</t>
  </si>
  <si>
    <t>1,59,72,104</t>
  </si>
  <si>
    <t>HEXAWARE TECHNOLOGIES LIMITED</t>
  </si>
  <si>
    <t>2,29,990</t>
  </si>
  <si>
    <t>MAHINDRA &amp; MAHINDRA FINANCIAL SERVICES LIMITED</t>
  </si>
  <si>
    <t>PIRAMAL ENTERPRISES LIMITED</t>
  </si>
  <si>
    <t>8,73,005</t>
  </si>
  <si>
    <t>TATA ELXSI LIMITED</t>
  </si>
  <si>
    <t>2,77,411</t>
  </si>
  <si>
    <t>UNION BANK OF INDIA</t>
  </si>
  <si>
    <t>55,27,537</t>
  </si>
  <si>
    <t>Prev. Close</t>
  </si>
  <si>
    <t xml:space="preserve">Open </t>
  </si>
  <si>
    <t>Vol</t>
  </si>
  <si>
    <t>5,24,32,049</t>
  </si>
  <si>
    <t>4,40,90,829</t>
  </si>
  <si>
    <t>80,97,402</t>
  </si>
  <si>
    <t>3,29,41,210</t>
  </si>
  <si>
    <t>52,90,672</t>
  </si>
  <si>
    <t>14,89,546</t>
  </si>
  <si>
    <t>17,88,928</t>
  </si>
  <si>
    <t>8,64,222</t>
  </si>
  <si>
    <t>71,93,807</t>
  </si>
  <si>
    <t>1,17,42,601</t>
  </si>
  <si>
    <t>79,27,095</t>
  </si>
  <si>
    <t>8,93,108</t>
  </si>
  <si>
    <t>2,72,07,928</t>
  </si>
  <si>
    <t>50,78,557</t>
  </si>
  <si>
    <t>19,60,953</t>
  </si>
  <si>
    <t>3,61,881</t>
  </si>
  <si>
    <t>1,25,10,666</t>
  </si>
  <si>
    <t>24,90,529</t>
  </si>
  <si>
    <t>50,69,246</t>
  </si>
  <si>
    <t>85,72,034</t>
  </si>
  <si>
    <t>24,16,795</t>
  </si>
  <si>
    <t>1,49,44,332</t>
  </si>
  <si>
    <t>47,70,083</t>
  </si>
  <si>
    <t>37,77,305</t>
  </si>
  <si>
    <t>1,19,31,287</t>
  </si>
  <si>
    <t>1,35,85,658</t>
  </si>
  <si>
    <t>4,26,43,743</t>
  </si>
  <si>
    <t>1,52,43,084</t>
  </si>
  <si>
    <t>64,10,629</t>
  </si>
  <si>
    <t>1,10,27,462</t>
  </si>
  <si>
    <t>37,86,661</t>
  </si>
  <si>
    <t>2,07,510</t>
  </si>
  <si>
    <t>93,22,497</t>
  </si>
  <si>
    <t>1,92,10,693</t>
  </si>
  <si>
    <t>87,79,407</t>
  </si>
  <si>
    <t>1,51,01,711</t>
  </si>
  <si>
    <t>3,18,63,686</t>
  </si>
  <si>
    <t>11,26,80,750</t>
  </si>
  <si>
    <t>1,38,55,788</t>
  </si>
  <si>
    <t>53,07,649</t>
  </si>
  <si>
    <t>59,17,546</t>
  </si>
  <si>
    <t>85,32,888</t>
  </si>
  <si>
    <t>5,01,496</t>
  </si>
  <si>
    <t>46,91,012</t>
  </si>
  <si>
    <t>4,16,02,363</t>
  </si>
  <si>
    <t>34,65,831</t>
  </si>
  <si>
    <t>87,15,706</t>
  </si>
  <si>
    <t>Face Value</t>
  </si>
  <si>
    <t>FFMC</t>
  </si>
  <si>
    <t>COPIED</t>
  </si>
  <si>
    <t>10,57,33,609</t>
  </si>
  <si>
    <t>1,10,714.27</t>
  </si>
  <si>
    <t>2,26,84,083</t>
  </si>
  <si>
    <t>2,31,36,944</t>
  </si>
  <si>
    <t>1,14,66,123</t>
  </si>
  <si>
    <t>4,98,041.11</t>
  </si>
  <si>
    <t>3,26,299.57</t>
  </si>
  <si>
    <t>35,41,394</t>
  </si>
  <si>
    <t>2,20,865.22</t>
  </si>
  <si>
    <t>1,29,64,289</t>
  </si>
  <si>
    <t>1,51,001.22</t>
  </si>
  <si>
    <t>1,68,03,117</t>
  </si>
  <si>
    <t>1,01,80,880</t>
  </si>
  <si>
    <t>3,70,83,748</t>
  </si>
  <si>
    <t>2,77,42,566</t>
  </si>
  <si>
    <t>1,25,94,02,839</t>
  </si>
  <si>
    <t>82,67,355</t>
  </si>
  <si>
    <t>Factor</t>
  </si>
  <si>
    <t>BANKNIFTY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</si>
</sst>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%"/>
  </numFmts>
  <fonts count="10">
    <font>
      <sz val="11.0"/>
      <color rgb="FF000000"/>
      <name val="Calibri"/>
    </font>
    <font>
      <u/>
      <sz val="9.0"/>
      <color rgb="FF0000FF"/>
      <name val="Calibri"/>
    </font>
    <font>
      <b/>
      <sz val="11.0"/>
      <color rgb="FF000000"/>
      <name val="Calibri"/>
    </font>
    <font/>
    <font>
      <b/>
      <i/>
      <sz val="14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9.0"/>
      <name val="Calibri"/>
    </font>
    <font>
      <sz val="12.0"/>
      <color rgb="FF000000"/>
      <name val="Calibri"/>
    </font>
    <font>
      <sz val="16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</fills>
  <borders count="4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Font="1"/>
    <xf borderId="1" fillId="0" fontId="2" numFmtId="49" xfId="0" applyAlignment="1" applyBorder="1" applyFont="1" applyNumberForma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0" numFmtId="4" xfId="0" applyAlignment="1" applyFont="1" applyNumberFormat="1">
      <alignment horizontal="center" vertical="center"/>
    </xf>
    <xf borderId="4" fillId="0" fontId="0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49" xfId="0" applyAlignment="1" applyBorder="1" applyFont="1" applyNumberFormat="1">
      <alignment horizontal="center" vertical="center"/>
    </xf>
    <xf borderId="7" fillId="0" fontId="2" numFmtId="49" xfId="0" applyAlignment="1" applyBorder="1" applyFont="1" applyNumberFormat="1">
      <alignment horizontal="center" vertical="center"/>
    </xf>
    <xf borderId="8" fillId="0" fontId="2" numFmtId="49" xfId="0" applyAlignment="1" applyBorder="1" applyFont="1" applyNumberFormat="1">
      <alignment horizontal="center" vertical="center"/>
    </xf>
    <xf borderId="6" fillId="0" fontId="2" numFmtId="4" xfId="0" applyAlignment="1" applyBorder="1" applyFont="1" applyNumberFormat="1">
      <alignment horizontal="center" vertical="center"/>
    </xf>
    <xf borderId="7" fillId="0" fontId="2" numFmtId="4" xfId="0" applyAlignment="1" applyBorder="1" applyFont="1" applyNumberFormat="1">
      <alignment horizontal="center" vertical="center"/>
    </xf>
    <xf borderId="8" fillId="0" fontId="2" numFmtId="4" xfId="0" applyAlignment="1" applyBorder="1" applyFont="1" applyNumberFormat="1">
      <alignment horizontal="center" vertical="center"/>
    </xf>
    <xf borderId="9" fillId="0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11" fillId="0" fontId="0" numFmtId="49" xfId="0" applyAlignment="1" applyBorder="1" applyFont="1" applyNumberFormat="1">
      <alignment horizontal="center" vertical="center"/>
    </xf>
    <xf borderId="12" fillId="0" fontId="0" numFmtId="49" xfId="0" applyAlignment="1" applyBorder="1" applyFont="1" applyNumberFormat="1">
      <alignment horizontal="center" vertical="center"/>
    </xf>
    <xf borderId="13" fillId="0" fontId="0" numFmtId="49" xfId="0" applyAlignment="1" applyBorder="1" applyFont="1" applyNumberFormat="1">
      <alignment horizontal="center" vertical="center"/>
    </xf>
    <xf borderId="11" fillId="0" fontId="0" numFmtId="4" xfId="0" applyAlignment="1" applyBorder="1" applyFont="1" applyNumberFormat="1">
      <alignment horizontal="center" vertical="center"/>
    </xf>
    <xf borderId="12" fillId="0" fontId="0" numFmtId="4" xfId="0" applyAlignment="1" applyBorder="1" applyFont="1" applyNumberFormat="1">
      <alignment horizontal="center" vertical="center"/>
    </xf>
    <xf borderId="13" fillId="0" fontId="0" numFmtId="4" xfId="0" applyAlignment="1" applyBorder="1" applyFont="1" applyNumberFormat="1">
      <alignment horizontal="center" vertical="center"/>
    </xf>
    <xf borderId="14" fillId="0" fontId="0" numFmtId="0" xfId="0" applyAlignment="1" applyBorder="1" applyFont="1">
      <alignment horizontal="center" vertical="center"/>
    </xf>
    <xf borderId="15" fillId="0" fontId="0" numFmtId="49" xfId="0" applyAlignment="1" applyBorder="1" applyFont="1" applyNumberFormat="1">
      <alignment horizontal="center" vertical="center"/>
    </xf>
    <xf borderId="16" fillId="0" fontId="0" numFmtId="49" xfId="0" applyAlignment="1" applyBorder="1" applyFont="1" applyNumberFormat="1">
      <alignment horizontal="center" vertical="center"/>
    </xf>
    <xf borderId="17" fillId="0" fontId="0" numFmtId="49" xfId="0" applyAlignment="1" applyBorder="1" applyFont="1" applyNumberFormat="1">
      <alignment horizontal="center" vertical="center"/>
    </xf>
    <xf borderId="15" fillId="0" fontId="0" numFmtId="4" xfId="0" applyAlignment="1" applyBorder="1" applyFont="1" applyNumberFormat="1">
      <alignment horizontal="center" vertical="center"/>
    </xf>
    <xf borderId="16" fillId="0" fontId="0" numFmtId="4" xfId="0" applyAlignment="1" applyBorder="1" applyFont="1" applyNumberFormat="1">
      <alignment horizontal="center" vertical="center"/>
    </xf>
    <xf borderId="17" fillId="0" fontId="0" numFmtId="4" xfId="0" applyAlignment="1" applyBorder="1" applyFont="1" applyNumberFormat="1">
      <alignment horizontal="center" vertical="center"/>
    </xf>
    <xf borderId="18" fillId="0" fontId="0" numFmtId="0" xfId="0" applyAlignment="1" applyBorder="1" applyFont="1">
      <alignment horizontal="center" vertical="center"/>
    </xf>
    <xf borderId="19" fillId="0" fontId="0" numFmtId="49" xfId="0" applyAlignment="1" applyBorder="1" applyFont="1" applyNumberFormat="1">
      <alignment horizontal="center" vertical="center"/>
    </xf>
    <xf borderId="20" fillId="0" fontId="0" numFmtId="49" xfId="0" applyAlignment="1" applyBorder="1" applyFont="1" applyNumberFormat="1">
      <alignment horizontal="center" vertical="center"/>
    </xf>
    <xf borderId="21" fillId="0" fontId="0" numFmtId="49" xfId="0" applyAlignment="1" applyBorder="1" applyFont="1" applyNumberFormat="1">
      <alignment horizontal="center" vertical="center"/>
    </xf>
    <xf borderId="19" fillId="0" fontId="0" numFmtId="4" xfId="0" applyAlignment="1" applyBorder="1" applyFont="1" applyNumberFormat="1">
      <alignment horizontal="center" vertical="center"/>
    </xf>
    <xf borderId="20" fillId="0" fontId="0" numFmtId="4" xfId="0" applyAlignment="1" applyBorder="1" applyFont="1" applyNumberFormat="1">
      <alignment horizontal="center" vertical="center"/>
    </xf>
    <xf borderId="21" fillId="0" fontId="0" numFmtId="4" xfId="0" applyAlignment="1" applyBorder="1" applyFont="1" applyNumberFormat="1">
      <alignment horizontal="center" vertical="center"/>
    </xf>
    <xf borderId="0" fillId="0" fontId="0" numFmtId="49" xfId="0" applyAlignment="1" applyFont="1" applyNumberFormat="1">
      <alignment horizontal="center" vertical="center"/>
    </xf>
    <xf borderId="22" fillId="0" fontId="0" numFmtId="0" xfId="0" applyAlignment="1" applyBorder="1" applyFont="1">
      <alignment horizontal="center" vertical="center"/>
    </xf>
    <xf borderId="23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4" fillId="0" fontId="0" numFmtId="49" xfId="0" applyAlignment="1" applyBorder="1" applyFont="1" applyNumberFormat="1">
      <alignment horizontal="center" vertical="center"/>
    </xf>
    <xf borderId="25" fillId="0" fontId="0" numFmtId="49" xfId="0" applyAlignment="1" applyBorder="1" applyFont="1" applyNumberFormat="1">
      <alignment horizontal="center" vertical="center"/>
    </xf>
    <xf borderId="26" fillId="0" fontId="0" numFmtId="49" xfId="0" applyAlignment="1" applyBorder="1" applyFont="1" applyNumberFormat="1">
      <alignment horizontal="center" vertical="center"/>
    </xf>
    <xf borderId="24" fillId="0" fontId="0" numFmtId="4" xfId="0" applyAlignment="1" applyBorder="1" applyFont="1" applyNumberFormat="1">
      <alignment horizontal="center" vertical="center"/>
    </xf>
    <xf borderId="25" fillId="0" fontId="0" numFmtId="4" xfId="0" applyAlignment="1" applyBorder="1" applyFont="1" applyNumberFormat="1">
      <alignment horizontal="center" vertical="center"/>
    </xf>
    <xf borderId="26" fillId="0" fontId="0" numFmtId="4" xfId="0" applyAlignment="1" applyBorder="1" applyFont="1" applyNumberFormat="1">
      <alignment horizontal="center" vertical="center"/>
    </xf>
    <xf borderId="27" fillId="0" fontId="0" numFmtId="0" xfId="0" applyAlignment="1" applyBorder="1" applyFont="1">
      <alignment horizontal="center" vertical="center"/>
    </xf>
    <xf borderId="28" fillId="0" fontId="0" numFmtId="0" xfId="0" applyAlignment="1" applyBorder="1" applyFont="1">
      <alignment horizontal="center" vertical="center"/>
    </xf>
    <xf borderId="29" fillId="0" fontId="0" numFmtId="0" xfId="0" applyAlignment="1" applyBorder="1" applyFont="1">
      <alignment horizontal="center" vertical="center"/>
    </xf>
    <xf borderId="30" fillId="0" fontId="0" numFmtId="49" xfId="0" applyAlignment="1" applyBorder="1" applyFont="1" applyNumberFormat="1">
      <alignment horizontal="center" vertical="center"/>
    </xf>
    <xf borderId="31" fillId="0" fontId="0" numFmtId="49" xfId="0" applyAlignment="1" applyBorder="1" applyFont="1" applyNumberFormat="1">
      <alignment horizontal="center" vertical="center"/>
    </xf>
    <xf borderId="32" fillId="0" fontId="0" numFmtId="49" xfId="0" applyAlignment="1" applyBorder="1" applyFont="1" applyNumberFormat="1">
      <alignment horizontal="center" vertical="center"/>
    </xf>
    <xf borderId="30" fillId="0" fontId="0" numFmtId="4" xfId="0" applyAlignment="1" applyBorder="1" applyFont="1" applyNumberFormat="1">
      <alignment horizontal="center" vertical="center"/>
    </xf>
    <xf borderId="31" fillId="0" fontId="0" numFmtId="4" xfId="0" applyAlignment="1" applyBorder="1" applyFont="1" applyNumberFormat="1">
      <alignment horizontal="center" vertical="center"/>
    </xf>
    <xf borderId="32" fillId="0" fontId="0" numFmtId="4" xfId="0" applyAlignment="1" applyBorder="1" applyFont="1" applyNumberFormat="1">
      <alignment horizontal="center" vertical="center"/>
    </xf>
    <xf borderId="33" fillId="2" fontId="2" numFmtId="0" xfId="0" applyAlignment="1" applyBorder="1" applyFill="1" applyFont="1">
      <alignment horizontal="center" vertical="center"/>
    </xf>
    <xf borderId="33" fillId="3" fontId="4" numFmtId="49" xfId="0" applyAlignment="1" applyBorder="1" applyFill="1" applyFont="1" applyNumberFormat="1">
      <alignment horizontal="center" vertical="center"/>
    </xf>
    <xf borderId="0" fillId="0" fontId="2" numFmtId="4" xfId="0" applyAlignment="1" applyFont="1" applyNumberFormat="1">
      <alignment horizontal="center" vertical="center"/>
    </xf>
    <xf borderId="0" fillId="0" fontId="0" numFmtId="9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4" fillId="0" fontId="5" numFmtId="4" xfId="0" applyAlignment="1" applyBorder="1" applyFont="1" applyNumberForma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0" fillId="0" fontId="5" numFmtId="4" xfId="0" applyAlignment="1" applyFont="1" applyNumberFormat="1">
      <alignment horizontal="center" vertical="center"/>
    </xf>
    <xf borderId="1" fillId="0" fontId="5" numFmtId="4" xfId="0" applyAlignment="1" applyBorder="1" applyFont="1" applyNumberFormat="1">
      <alignment horizontal="center" vertical="center"/>
    </xf>
    <xf borderId="5" fillId="0" fontId="5" numFmtId="4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6" fillId="0" fontId="5" numFmtId="4" xfId="0" applyAlignment="1" applyBorder="1" applyFont="1" applyNumberFormat="1">
      <alignment horizontal="center" vertical="center"/>
    </xf>
    <xf borderId="7" fillId="0" fontId="5" numFmtId="4" xfId="0" applyAlignment="1" applyBorder="1" applyFont="1" applyNumberFormat="1">
      <alignment horizontal="center" vertical="center"/>
    </xf>
    <xf borderId="8" fillId="0" fontId="5" numFmtId="4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15" fillId="0" fontId="7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5" fillId="0" fontId="6" numFmtId="4" xfId="0" applyAlignment="1" applyBorder="1" applyFont="1" applyNumberFormat="1">
      <alignment horizontal="center" vertical="center"/>
    </xf>
    <xf borderId="16" fillId="0" fontId="6" numFmtId="4" xfId="0" applyAlignment="1" applyBorder="1" applyFont="1" applyNumberFormat="1">
      <alignment horizontal="center" vertical="center"/>
    </xf>
    <xf borderId="36" fillId="0" fontId="6" numFmtId="4" xfId="0" applyAlignment="1" applyBorder="1" applyFont="1" applyNumberFormat="1">
      <alignment horizontal="center" vertical="center"/>
    </xf>
    <xf borderId="17" fillId="0" fontId="6" numFmtId="3" xfId="0" applyAlignment="1" applyBorder="1" applyFont="1" applyNumberFormat="1">
      <alignment horizontal="center" vertical="center"/>
    </xf>
    <xf borderId="0" fillId="0" fontId="6" numFmtId="4" xfId="0" applyAlignment="1" applyFont="1" applyNumberFormat="1">
      <alignment horizontal="center" vertical="center"/>
    </xf>
    <xf borderId="17" fillId="0" fontId="6" numFmtId="4" xfId="0" applyAlignment="1" applyBorder="1" applyFont="1" applyNumberFormat="1">
      <alignment horizontal="center" vertical="center"/>
    </xf>
    <xf borderId="14" fillId="0" fontId="6" numFmtId="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1" fillId="0" fontId="6" numFmtId="4" xfId="0" applyAlignment="1" applyBorder="1" applyFont="1" applyNumberFormat="1">
      <alignment horizontal="center" vertical="center"/>
    </xf>
    <xf borderId="12" fillId="0" fontId="6" numFmtId="4" xfId="0" applyAlignment="1" applyBorder="1" applyFont="1" applyNumberFormat="1">
      <alignment horizontal="center" vertical="center"/>
    </xf>
    <xf borderId="37" fillId="0" fontId="6" numFmtId="4" xfId="0" applyAlignment="1" applyBorder="1" applyFont="1" applyNumberFormat="1">
      <alignment horizontal="center" vertical="center"/>
    </xf>
    <xf borderId="13" fillId="0" fontId="6" numFmtId="3" xfId="0" applyAlignment="1" applyBorder="1" applyFont="1" applyNumberFormat="1">
      <alignment horizontal="center" vertical="center"/>
    </xf>
    <xf borderId="13" fillId="0" fontId="6" numFmtId="4" xfId="0" applyAlignment="1" applyBorder="1" applyFont="1" applyNumberFormat="1">
      <alignment horizontal="center" vertical="center"/>
    </xf>
    <xf borderId="10" fillId="0" fontId="6" numFmtId="4" xfId="0" applyAlignment="1" applyBorder="1" applyFont="1" applyNumberFormat="1">
      <alignment horizontal="center" vertical="center"/>
    </xf>
    <xf borderId="19" fillId="0" fontId="7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19" fillId="0" fontId="6" numFmtId="4" xfId="0" applyAlignment="1" applyBorder="1" applyFont="1" applyNumberFormat="1">
      <alignment horizontal="center" vertical="center"/>
    </xf>
    <xf borderId="20" fillId="0" fontId="6" numFmtId="4" xfId="0" applyAlignment="1" applyBorder="1" applyFont="1" applyNumberFormat="1">
      <alignment horizontal="center" vertical="center"/>
    </xf>
    <xf borderId="38" fillId="0" fontId="6" numFmtId="4" xfId="0" applyAlignment="1" applyBorder="1" applyFont="1" applyNumberFormat="1">
      <alignment horizontal="center" vertical="center"/>
    </xf>
    <xf borderId="21" fillId="0" fontId="6" numFmtId="3" xfId="0" applyAlignment="1" applyBorder="1" applyFont="1" applyNumberFormat="1">
      <alignment horizontal="center" vertical="center"/>
    </xf>
    <xf borderId="21" fillId="0" fontId="6" numFmtId="4" xfId="0" applyAlignment="1" applyBorder="1" applyFont="1" applyNumberFormat="1">
      <alignment horizontal="center" vertical="center"/>
    </xf>
    <xf borderId="18" fillId="0" fontId="6" numFmtId="4" xfId="0" applyAlignment="1" applyBorder="1" applyFont="1" applyNumberFormat="1">
      <alignment horizontal="center" vertical="center"/>
    </xf>
    <xf borderId="15" fillId="0" fontId="6" numFmtId="0" xfId="0" applyAlignment="1" applyBorder="1" applyFont="1">
      <alignment horizontal="center" vertical="center"/>
    </xf>
    <xf borderId="0" fillId="0" fontId="0" numFmtId="4" xfId="0" applyFont="1" applyNumberFormat="1"/>
    <xf borderId="4" fillId="0" fontId="2" numFmtId="0" xfId="0" applyAlignment="1" applyBorder="1" applyFont="1">
      <alignment horizontal="center" vertical="center"/>
    </xf>
    <xf borderId="5" fillId="0" fontId="2" numFmtId="4" xfId="0" applyAlignment="1" applyBorder="1" applyFont="1" applyNumberFormat="1">
      <alignment horizontal="center" vertical="center"/>
    </xf>
    <xf borderId="39" fillId="0" fontId="0" numFmtId="0" xfId="0" applyAlignment="1" applyBorder="1" applyFont="1">
      <alignment horizontal="center" vertical="center"/>
    </xf>
    <xf borderId="14" fillId="0" fontId="0" numFmtId="4" xfId="0" applyAlignment="1" applyBorder="1" applyFont="1" applyNumberFormat="1">
      <alignment horizontal="center" vertical="center"/>
    </xf>
    <xf borderId="17" fillId="0" fontId="0" numFmtId="10" xfId="0" applyAlignment="1" applyBorder="1" applyFont="1" applyNumberFormat="1">
      <alignment horizontal="center" vertical="center"/>
    </xf>
    <xf borderId="10" fillId="0" fontId="0" numFmtId="4" xfId="0" applyAlignment="1" applyBorder="1" applyFont="1" applyNumberFormat="1">
      <alignment horizontal="center" vertical="center"/>
    </xf>
    <xf borderId="13" fillId="0" fontId="0" numFmtId="10" xfId="0" applyAlignment="1" applyBorder="1" applyFont="1" applyNumberFormat="1">
      <alignment horizontal="center" vertical="center"/>
    </xf>
    <xf borderId="18" fillId="0" fontId="0" numFmtId="4" xfId="0" applyAlignment="1" applyBorder="1" applyFont="1" applyNumberFormat="1">
      <alignment horizontal="center" vertical="center"/>
    </xf>
    <xf borderId="21" fillId="0" fontId="0" numFmtId="10" xfId="0" applyAlignment="1" applyBorder="1" applyFont="1" applyNumberForma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0" fontId="0" numFmtId="4" xfId="0" applyAlignment="1" applyBorder="1" applyFont="1" applyNumberFormat="1">
      <alignment horizontal="center" vertical="center"/>
    </xf>
    <xf borderId="6" fillId="0" fontId="0" numFmtId="4" xfId="0" applyAlignment="1" applyBorder="1" applyFont="1" applyNumberFormat="1">
      <alignment horizontal="center" vertical="center"/>
    </xf>
    <xf borderId="7" fillId="0" fontId="0" numFmtId="4" xfId="0" applyAlignment="1" applyBorder="1" applyFont="1" applyNumberFormat="1">
      <alignment horizontal="center" vertical="center"/>
    </xf>
    <xf borderId="8" fillId="0" fontId="0" numFmtId="4" xfId="0" applyAlignment="1" applyBorder="1" applyFont="1" applyNumberFormat="1">
      <alignment horizontal="center" vertical="center"/>
    </xf>
    <xf borderId="16" fillId="2" fontId="8" numFmtId="0" xfId="0" applyAlignment="1" applyBorder="1" applyFon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5" fillId="0" fontId="9" numFmtId="4" xfId="0" applyAlignment="1" applyBorder="1" applyFont="1" applyNumberFormat="1">
      <alignment horizontal="center" vertical="center"/>
    </xf>
    <xf borderId="0" fillId="0" fontId="9" numFmtId="4" xfId="0" applyAlignment="1" applyFont="1" applyNumberFormat="1">
      <alignment horizontal="center" vertical="center"/>
    </xf>
    <xf borderId="6" fillId="0" fontId="9" numFmtId="4" xfId="0" applyAlignment="1" applyBorder="1" applyFont="1" applyNumberFormat="1">
      <alignment horizontal="center" vertical="center"/>
    </xf>
    <xf borderId="7" fillId="0" fontId="9" numFmtId="4" xfId="0" applyAlignment="1" applyBorder="1" applyFont="1" applyNumberFormat="1">
      <alignment horizontal="center" vertical="center"/>
    </xf>
    <xf borderId="8" fillId="0" fontId="9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microsoft.com/office/2006/relationships/vbaProject" Target="vbaProject.bin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581025</xdr:colOff>
      <xdr:row>0</xdr:row>
      <xdr:rowOff>104775</xdr:rowOff>
    </xdr:from>
    <xdr:ext cx="4419600" cy="581025"/>
    <xdr:sp macro="[0]!MaxPain.Max_Pain" textlink="">
      <xdr:nvSpPr>
        <xdr:cNvPr id="2" name="Rectangle 1"/>
        <xdr:cNvSpPr/>
      </xdr:nvSpPr>
      <xdr:spPr>
        <a:xfrm>
          <a:off x="15268433" y="113731"/>
          <a:ext cx="3376108" cy="584729"/>
        </a:xfrm>
        <a:prstGeom prst="rect">
          <a:avLst/>
        </a:prstGeom>
        <a:solidFill>
          <a:schemeClr val="accent3"/>
        </a:solidFill>
        <a:ln cap="flat" cmpd="sng" w="25400" algn="ctr">
          <a:solidFill>
            <a:schemeClr val="accent1">
              <a:shade val="50000"/>
            </a:schemeClr>
          </a:solidFill>
          <a:prstDash val="solid"/>
        </a:ln>
        <a:effectLst>
          <a:softEdge rad="31750"/>
        </a:effectLst>
        <a:scene3d>
          <a:camera prst="orthographicFront"/>
          <a:lightRig dir="t" rig="threePt"/>
        </a:scene3d>
        <a:sp3d>
          <a:bevelT h="76200" prst="riblet" w="1016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/>
        <a:lstStyle/>
        <a:p>
          <a:pPr lvl="0" algn="ctr"/>
          <a:r>
            <a:rPr b="1" i="0" lang="en-IN" sz="3200"/>
            <a:t>REFRESH</a:t>
          </a:r>
          <a:r>
            <a:rPr b="1" i="0" lang="en-IN" sz="3200"/>
            <a:t> ALL</a:t>
          </a:r>
          <a:endParaRPr b="1" i="0" lang="en-IN" sz="3200"/>
        </a:p>
      </xdr:txBody>
    </xdr:sp>
    <xdr:clientData fLocksWithSheet="0"/>
  </xdr:oneCellAnchor>
  <xdr:oneCellAnchor>
    <xdr:from>
      <xdr:col>3</xdr:col>
      <xdr:colOff>666750</xdr:colOff>
      <xdr:row>0</xdr:row>
      <xdr:rowOff>142875</xdr:rowOff>
    </xdr:from>
    <xdr:ext cx="3629025" cy="504825"/>
    <xdr:sp macro="[0]!Max_Pain_Single" textlink="">
      <xdr:nvSpPr>
        <xdr:cNvPr id="22" name="Rectangle 21"/>
        <xdr:cNvSpPr/>
      </xdr:nvSpPr>
      <xdr:spPr>
        <a:xfrm>
          <a:off x="6127471" y="146871"/>
          <a:ext cx="3640959" cy="513614"/>
        </a:xfrm>
        <a:prstGeom prst="rect">
          <a:avLst/>
        </a:prstGeom>
        <a:solidFill>
          <a:schemeClr val="accent1"/>
        </a:solidFill>
        <a:ln cap="flat" cmpd="sng" w="25400" algn="ctr">
          <a:solidFill>
            <a:schemeClr val="accent1">
              <a:shade val="50000"/>
            </a:schemeClr>
          </a:solidFill>
          <a:prstDash val="solid"/>
        </a:ln>
        <a:effectLst>
          <a:softEdge rad="31750"/>
        </a:effectLst>
        <a:scene3d>
          <a:camera prst="orthographicFront"/>
          <a:lightRig dir="t" rig="threePt"/>
        </a:scene3d>
        <a:sp3d>
          <a:bevelT h="76200" prst="riblet" w="1016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/>
        <a:lstStyle/>
        <a:p>
          <a:pPr lvl="0" algn="ctr"/>
          <a:r>
            <a:rPr b="1" i="0" lang="en-IN" sz="3200"/>
            <a:t>REFRESH</a:t>
          </a:r>
          <a:r>
            <a:rPr b="1" i="0" lang="en-IN" sz="3200"/>
            <a:t> SELECTED</a:t>
          </a:r>
          <a:endParaRPr b="1" i="0" lang="en-IN" sz="32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333375</xdr:colOff>
      <xdr:row>0</xdr:row>
      <xdr:rowOff>142875</xdr:rowOff>
    </xdr:from>
    <xdr:ext cx="2552700" cy="533400"/>
    <xdr:sp macro="[0]!Max_Pain_Banks" textlink="">
      <xdr:nvSpPr>
        <xdr:cNvPr id="2" name="Rectangle 1"/>
        <xdr:cNvSpPr/>
      </xdr:nvSpPr>
      <xdr:spPr>
        <a:xfrm>
          <a:off x="14546042" y="149679"/>
          <a:ext cx="3067708" cy="526007"/>
        </a:xfrm>
        <a:prstGeom prst="rect">
          <a:avLst/>
        </a:prstGeom>
        <a:solidFill>
          <a:schemeClr val="accent2"/>
        </a:solidFill>
        <a:ln cap="flat" cmpd="sng" w="25400" algn="ctr">
          <a:solidFill>
            <a:sysClr lastClr="000000" val="windowText"/>
          </a:solidFill>
          <a:prstDash val="solid"/>
        </a:ln>
        <a:effectLst>
          <a:outerShdw blurRad="107950" algn="ctr" dir="5400000" dist="12700">
            <a:srgbClr val="000000"/>
          </a:outerShdw>
        </a:effectLst>
        <a:scene3d>
          <a:camera prst="orthographicFront">
            <a:rot lat="0" lon="0" rev="0"/>
          </a:camera>
          <a:lightRig dir="t" rig="soft">
            <a:rot lat="0" lon="0" rev="0"/>
          </a:lightRig>
        </a:scene3d>
        <a:sp3d contourW="44450" prstMaterial="matte">
          <a:bevelT h="63500" prst="artDeco" w="63500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 rtlCol="0"/>
        <a:lstStyle/>
        <a:p>
          <a:pPr lvl="0" algn="ctr"/>
          <a:r>
            <a:rPr b="1" lang="en-IN" sz="3200"/>
            <a:t>REFRESH</a:t>
          </a:r>
          <a:r>
            <a:rPr b="1" lang="en-IN" sz="3200"/>
            <a:t> BANKS</a:t>
          </a:r>
          <a:endParaRPr b="1" lang="en-IN" sz="3200"/>
        </a:p>
      </xdr:txBody>
    </xdr:sp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Natik/AppData/Roaming/Microsoft/Excel/Stocks/CHOLAFIN%20-%20CHOLAMANDALAM%20INVESTMENT%20AND%20FINANCE%20COMPANY%20LIMITED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HOLAFIN"/>
      <sheetName val="MP"/>
      <sheetName val="MP_data"/>
      <sheetName val="30JAN2020"/>
      <sheetName val="27FEB2020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.71"/>
    <col customWidth="1" min="2" max="2" width="15.0"/>
    <col customWidth="1" hidden="1" min="3" max="3" width="227.0"/>
    <col customWidth="1" min="4" max="4" width="64.14"/>
    <col customWidth="1" min="5" max="5" width="1.71"/>
    <col customWidth="1" min="6" max="8" width="12.71"/>
    <col customWidth="1" min="9" max="9" width="1.71"/>
    <col customWidth="1" min="10" max="10" width="10.86"/>
    <col customWidth="1" min="11" max="11" width="11.43"/>
    <col customWidth="1" min="12" max="12" width="15.86"/>
  </cols>
  <sheetData>
    <row r="1">
      <c r="A1" s="1"/>
      <c r="B1" s="1"/>
      <c r="C1" s="2"/>
      <c r="D1" s="1"/>
      <c r="E1" s="1"/>
      <c r="F1" s="3" t="s">
        <v>0</v>
      </c>
      <c r="G1" s="4"/>
      <c r="H1" s="5"/>
      <c r="I1" s="1"/>
      <c r="J1" s="6"/>
      <c r="K1" s="6"/>
      <c r="L1" s="6"/>
    </row>
    <row r="2">
      <c r="A2" s="1"/>
      <c r="B2" s="7" t="s">
        <v>1</v>
      </c>
      <c r="C2" s="7"/>
      <c r="D2" s="8" t="s">
        <v>2</v>
      </c>
      <c r="E2" s="1"/>
      <c r="F2" s="9" t="s">
        <v>3</v>
      </c>
      <c r="G2" s="10" t="s">
        <v>4</v>
      </c>
      <c r="H2" s="11" t="s">
        <v>5</v>
      </c>
      <c r="I2" s="1"/>
      <c r="J2" s="12" t="s">
        <v>6</v>
      </c>
      <c r="K2" s="13" t="s">
        <v>6</v>
      </c>
      <c r="L2" s="14" t="s">
        <v>7</v>
      </c>
    </row>
    <row r="3">
      <c r="A3" s="1"/>
      <c r="B3" s="15" t="s">
        <v>8</v>
      </c>
      <c r="C3" s="15" t="s">
        <v>9</v>
      </c>
      <c r="D3" s="16" t="s">
        <v>10</v>
      </c>
      <c r="E3" s="1"/>
      <c r="F3" s="17" t="s">
        <v>11</v>
      </c>
      <c r="G3" s="18" t="s">
        <v>12</v>
      </c>
      <c r="H3" s="19" t="s">
        <v>13</v>
      </c>
      <c r="I3" s="1"/>
      <c r="J3" s="20">
        <v>1.0</v>
      </c>
      <c r="K3" s="21">
        <v>72050.62</v>
      </c>
      <c r="L3" s="22">
        <v>72050.62</v>
      </c>
    </row>
    <row r="4">
      <c r="A4" s="1"/>
      <c r="B4" s="15" t="s">
        <v>14</v>
      </c>
      <c r="C4" s="15" t="s">
        <v>15</v>
      </c>
      <c r="D4" s="16" t="s">
        <v>16</v>
      </c>
      <c r="E4" s="1"/>
      <c r="F4" s="17" t="s">
        <v>11</v>
      </c>
      <c r="G4" s="18" t="s">
        <v>12</v>
      </c>
      <c r="H4" s="19" t="s">
        <v>13</v>
      </c>
      <c r="I4" s="1"/>
      <c r="J4" s="20">
        <v>1.0</v>
      </c>
      <c r="K4" s="21" t="s">
        <v>17</v>
      </c>
      <c r="L4" s="22">
        <v>400609.25</v>
      </c>
    </row>
    <row r="5">
      <c r="A5" s="1"/>
      <c r="B5" s="15" t="s">
        <v>18</v>
      </c>
      <c r="C5" s="15" t="s">
        <v>19</v>
      </c>
      <c r="D5" s="23" t="s">
        <v>20</v>
      </c>
      <c r="E5" s="1"/>
      <c r="F5" s="24" t="s">
        <v>11</v>
      </c>
      <c r="G5" s="25" t="s">
        <v>12</v>
      </c>
      <c r="H5" s="26" t="s">
        <v>13</v>
      </c>
      <c r="I5" s="1"/>
      <c r="J5" s="27">
        <v>2.0</v>
      </c>
      <c r="K5" s="28" t="s">
        <v>21</v>
      </c>
      <c r="L5" s="29">
        <v>110904.25</v>
      </c>
    </row>
    <row r="6">
      <c r="A6" s="1"/>
      <c r="B6" s="15" t="s">
        <v>22</v>
      </c>
      <c r="C6" s="15" t="s">
        <v>23</v>
      </c>
      <c r="D6" s="23" t="s">
        <v>24</v>
      </c>
      <c r="E6" s="1"/>
      <c r="F6" s="24" t="s">
        <v>11</v>
      </c>
      <c r="G6" s="25" t="s">
        <v>12</v>
      </c>
      <c r="H6" s="26" t="s">
        <v>13</v>
      </c>
      <c r="I6" s="1"/>
      <c r="J6" s="27">
        <v>1.0</v>
      </c>
      <c r="K6" s="28" t="s">
        <v>17</v>
      </c>
      <c r="L6" s="29">
        <v>400609.25</v>
      </c>
    </row>
    <row r="7">
      <c r="A7" s="1"/>
      <c r="B7" s="15" t="s">
        <v>25</v>
      </c>
      <c r="C7" s="15" t="s">
        <v>26</v>
      </c>
      <c r="D7" s="23" t="s">
        <v>27</v>
      </c>
      <c r="E7" s="1"/>
      <c r="F7" s="24" t="s">
        <v>11</v>
      </c>
      <c r="G7" s="25" t="s">
        <v>12</v>
      </c>
      <c r="H7" s="26" t="s">
        <v>13</v>
      </c>
      <c r="I7" s="1"/>
      <c r="J7" s="27">
        <v>5.0</v>
      </c>
      <c r="K7" s="28" t="s">
        <v>28</v>
      </c>
      <c r="L7" s="29">
        <v>34081.3</v>
      </c>
    </row>
    <row r="8">
      <c r="A8" s="1"/>
      <c r="B8" s="15" t="s">
        <v>29</v>
      </c>
      <c r="C8" s="15" t="s">
        <v>30</v>
      </c>
      <c r="D8" s="23" t="s">
        <v>31</v>
      </c>
      <c r="E8" s="1"/>
      <c r="F8" s="24" t="s">
        <v>11</v>
      </c>
      <c r="G8" s="25" t="s">
        <v>12</v>
      </c>
      <c r="H8" s="26" t="s">
        <v>13</v>
      </c>
      <c r="I8" s="1"/>
      <c r="J8" s="27">
        <v>10.0</v>
      </c>
      <c r="K8" s="28">
        <v>23857.34</v>
      </c>
      <c r="L8" s="29">
        <v>2385.734</v>
      </c>
    </row>
    <row r="9">
      <c r="A9" s="1"/>
      <c r="B9" s="15" t="s">
        <v>32</v>
      </c>
      <c r="C9" s="15" t="s">
        <v>33</v>
      </c>
      <c r="D9" s="23" t="s">
        <v>34</v>
      </c>
      <c r="E9" s="1"/>
      <c r="F9" s="24" t="s">
        <v>11</v>
      </c>
      <c r="G9" s="25" t="s">
        <v>12</v>
      </c>
      <c r="H9" s="26" t="s">
        <v>13</v>
      </c>
      <c r="I9" s="1"/>
      <c r="J9" s="27">
        <v>2.0</v>
      </c>
      <c r="K9" s="28">
        <v>19448.33</v>
      </c>
      <c r="L9" s="29">
        <v>9724.165</v>
      </c>
    </row>
    <row r="10">
      <c r="A10" s="1"/>
      <c r="B10" s="15" t="s">
        <v>35</v>
      </c>
      <c r="C10" s="15" t="s">
        <v>36</v>
      </c>
      <c r="D10" s="23" t="s">
        <v>37</v>
      </c>
      <c r="E10" s="1"/>
      <c r="F10" s="24" t="s">
        <v>11</v>
      </c>
      <c r="G10" s="25" t="s">
        <v>12</v>
      </c>
      <c r="H10" s="26" t="s">
        <v>13</v>
      </c>
      <c r="I10" s="1"/>
      <c r="J10" s="27">
        <v>1.0</v>
      </c>
      <c r="K10" s="28">
        <v>74446.65</v>
      </c>
      <c r="L10" s="29">
        <v>74446.65</v>
      </c>
    </row>
    <row r="11">
      <c r="A11" s="1"/>
      <c r="B11" s="15" t="s">
        <v>38</v>
      </c>
      <c r="C11" s="15" t="s">
        <v>39</v>
      </c>
      <c r="D11" s="23" t="s">
        <v>40</v>
      </c>
      <c r="E11" s="1"/>
      <c r="F11" s="24" t="s">
        <v>11</v>
      </c>
      <c r="G11" s="25" t="s">
        <v>12</v>
      </c>
      <c r="H11" s="26" t="s">
        <v>13</v>
      </c>
      <c r="I11" s="1"/>
      <c r="J11" s="27">
        <v>10.0</v>
      </c>
      <c r="K11" s="28">
        <v>31719.76</v>
      </c>
      <c r="L11" s="29">
        <v>3171.9759999999997</v>
      </c>
    </row>
    <row r="12">
      <c r="A12" s="1"/>
      <c r="B12" s="15" t="s">
        <v>41</v>
      </c>
      <c r="C12" s="15" t="s">
        <v>42</v>
      </c>
      <c r="D12" s="23" t="s">
        <v>43</v>
      </c>
      <c r="E12" s="1"/>
      <c r="F12" s="24" t="s">
        <v>11</v>
      </c>
      <c r="G12" s="25" t="s">
        <v>12</v>
      </c>
      <c r="H12" s="26" t="s">
        <v>13</v>
      </c>
      <c r="I12" s="1"/>
      <c r="J12" s="27">
        <v>5.0</v>
      </c>
      <c r="K12" s="28">
        <v>29149.1</v>
      </c>
      <c r="L12" s="29">
        <v>5829.82</v>
      </c>
    </row>
    <row r="13">
      <c r="A13" s="1"/>
      <c r="B13" s="15" t="s">
        <v>44</v>
      </c>
      <c r="C13" s="15" t="s">
        <v>45</v>
      </c>
      <c r="D13" s="23" t="s">
        <v>46</v>
      </c>
      <c r="E13" s="1"/>
      <c r="F13" s="24" t="s">
        <v>11</v>
      </c>
      <c r="G13" s="25" t="s">
        <v>12</v>
      </c>
      <c r="H13" s="26" t="s">
        <v>13</v>
      </c>
      <c r="I13" s="1"/>
      <c r="J13" s="27">
        <v>2.0</v>
      </c>
      <c r="K13" s="28">
        <v>67558.49</v>
      </c>
      <c r="L13" s="29">
        <v>33779.245</v>
      </c>
    </row>
    <row r="14">
      <c r="A14" s="1"/>
      <c r="B14" s="15" t="s">
        <v>47</v>
      </c>
      <c r="C14" s="15" t="s">
        <v>48</v>
      </c>
      <c r="D14" s="23" t="s">
        <v>49</v>
      </c>
      <c r="E14" s="1"/>
      <c r="F14" s="24" t="s">
        <v>11</v>
      </c>
      <c r="G14" s="25" t="s">
        <v>12</v>
      </c>
      <c r="H14" s="26" t="s">
        <v>13</v>
      </c>
      <c r="I14" s="1"/>
      <c r="J14" s="27">
        <v>5.0</v>
      </c>
      <c r="K14" s="28" t="s">
        <v>50</v>
      </c>
      <c r="L14" s="29">
        <v>21862.273999999998</v>
      </c>
    </row>
    <row r="15">
      <c r="A15" s="1"/>
      <c r="B15" s="15" t="s">
        <v>51</v>
      </c>
      <c r="C15" s="15" t="s">
        <v>52</v>
      </c>
      <c r="D15" s="23" t="s">
        <v>53</v>
      </c>
      <c r="E15" s="1"/>
      <c r="F15" s="24" t="s">
        <v>11</v>
      </c>
      <c r="G15" s="25" t="s">
        <v>12</v>
      </c>
      <c r="H15" s="26" t="s">
        <v>13</v>
      </c>
      <c r="I15" s="1"/>
      <c r="J15" s="27">
        <v>10.0</v>
      </c>
      <c r="K15" s="28">
        <v>27682.49</v>
      </c>
      <c r="L15" s="29">
        <v>2768.2490000000003</v>
      </c>
    </row>
    <row r="16">
      <c r="A16" s="1"/>
      <c r="B16" s="15" t="s">
        <v>54</v>
      </c>
      <c r="C16" s="15" t="s">
        <v>55</v>
      </c>
      <c r="D16" s="23" t="s">
        <v>56</v>
      </c>
      <c r="E16" s="1"/>
      <c r="F16" s="24" t="s">
        <v>11</v>
      </c>
      <c r="G16" s="25" t="s">
        <v>12</v>
      </c>
      <c r="H16" s="26" t="s">
        <v>13</v>
      </c>
      <c r="I16" s="1"/>
      <c r="J16" s="27">
        <v>1.0</v>
      </c>
      <c r="K16" s="28">
        <v>33012.28</v>
      </c>
      <c r="L16" s="29">
        <v>33012.28</v>
      </c>
    </row>
    <row r="17">
      <c r="A17" s="1"/>
      <c r="B17" s="15" t="s">
        <v>57</v>
      </c>
      <c r="C17" s="15" t="s">
        <v>58</v>
      </c>
      <c r="D17" s="23" t="s">
        <v>59</v>
      </c>
      <c r="E17" s="1"/>
      <c r="F17" s="24" t="s">
        <v>11</v>
      </c>
      <c r="G17" s="25" t="s">
        <v>12</v>
      </c>
      <c r="H17" s="26" t="s">
        <v>13</v>
      </c>
      <c r="I17" s="1"/>
      <c r="J17" s="27">
        <v>2.0</v>
      </c>
      <c r="K17" s="28">
        <v>29439.52</v>
      </c>
      <c r="L17" s="29">
        <v>14719.76</v>
      </c>
    </row>
    <row r="18">
      <c r="A18" s="1"/>
      <c r="B18" s="15" t="s">
        <v>60</v>
      </c>
      <c r="C18" s="15" t="s">
        <v>61</v>
      </c>
      <c r="D18" s="23" t="s">
        <v>62</v>
      </c>
      <c r="E18" s="1"/>
      <c r="F18" s="24" t="s">
        <v>11</v>
      </c>
      <c r="G18" s="25" t="s">
        <v>12</v>
      </c>
      <c r="H18" s="26" t="s">
        <v>13</v>
      </c>
      <c r="I18" s="1"/>
      <c r="J18" s="27">
        <v>10.0</v>
      </c>
      <c r="K18" s="28">
        <v>29502.21</v>
      </c>
      <c r="L18" s="29">
        <v>2950.221</v>
      </c>
    </row>
    <row r="19">
      <c r="A19" s="1"/>
      <c r="B19" s="15" t="s">
        <v>63</v>
      </c>
      <c r="C19" s="15" t="s">
        <v>64</v>
      </c>
      <c r="D19" s="23" t="s">
        <v>65</v>
      </c>
      <c r="E19" s="1"/>
      <c r="F19" s="24" t="s">
        <v>11</v>
      </c>
      <c r="G19" s="25" t="s">
        <v>12</v>
      </c>
      <c r="H19" s="26" t="s">
        <v>13</v>
      </c>
      <c r="I19" s="1"/>
      <c r="J19" s="27">
        <v>5.0</v>
      </c>
      <c r="K19" s="28">
        <v>43929.07</v>
      </c>
      <c r="L19" s="29">
        <v>8785.814</v>
      </c>
    </row>
    <row r="20">
      <c r="A20" s="1"/>
      <c r="B20" s="15" t="s">
        <v>66</v>
      </c>
      <c r="C20" s="15" t="s">
        <v>67</v>
      </c>
      <c r="D20" s="23" t="s">
        <v>68</v>
      </c>
      <c r="E20" s="1"/>
      <c r="F20" s="24" t="s">
        <v>11</v>
      </c>
      <c r="G20" s="25" t="s">
        <v>12</v>
      </c>
      <c r="H20" s="26" t="s">
        <v>13</v>
      </c>
      <c r="I20" s="1"/>
      <c r="J20" s="27">
        <v>10.0</v>
      </c>
      <c r="K20" s="28">
        <v>19136.61</v>
      </c>
      <c r="L20" s="29">
        <v>1913.661</v>
      </c>
    </row>
    <row r="21" ht="15.75" customHeight="1">
      <c r="A21" s="1"/>
      <c r="B21" s="15" t="s">
        <v>69</v>
      </c>
      <c r="C21" s="15" t="s">
        <v>70</v>
      </c>
      <c r="D21" s="23" t="s">
        <v>71</v>
      </c>
      <c r="E21" s="1"/>
      <c r="F21" s="24" t="s">
        <v>11</v>
      </c>
      <c r="G21" s="25" t="s">
        <v>12</v>
      </c>
      <c r="H21" s="26" t="s">
        <v>13</v>
      </c>
      <c r="I21" s="1"/>
      <c r="J21" s="27">
        <v>10.0</v>
      </c>
      <c r="K21" s="28">
        <v>16226.36</v>
      </c>
      <c r="L21" s="29">
        <v>1622.636</v>
      </c>
    </row>
    <row r="22" ht="15.75" customHeight="1">
      <c r="A22" s="1"/>
      <c r="B22" s="15" t="s">
        <v>72</v>
      </c>
      <c r="C22" s="15" t="s">
        <v>73</v>
      </c>
      <c r="D22" s="23" t="s">
        <v>74</v>
      </c>
      <c r="E22" s="1"/>
      <c r="F22" s="24" t="s">
        <v>11</v>
      </c>
      <c r="G22" s="25" t="s">
        <v>12</v>
      </c>
      <c r="H22" s="26" t="s">
        <v>13</v>
      </c>
      <c r="I22" s="1"/>
      <c r="J22" s="27">
        <v>2.0</v>
      </c>
      <c r="K22" s="28">
        <v>20939.71</v>
      </c>
      <c r="L22" s="29">
        <v>10469.855</v>
      </c>
    </row>
    <row r="23" ht="15.75" customHeight="1">
      <c r="A23" s="1"/>
      <c r="B23" s="15" t="s">
        <v>75</v>
      </c>
      <c r="C23" s="15" t="s">
        <v>76</v>
      </c>
      <c r="D23" s="23" t="s">
        <v>77</v>
      </c>
      <c r="E23" s="1"/>
      <c r="F23" s="24" t="s">
        <v>11</v>
      </c>
      <c r="G23" s="25" t="s">
        <v>12</v>
      </c>
      <c r="H23" s="26" t="s">
        <v>13</v>
      </c>
      <c r="I23" s="1"/>
      <c r="J23" s="27">
        <v>2.0</v>
      </c>
      <c r="K23" s="28">
        <v>50913.78</v>
      </c>
      <c r="L23" s="29">
        <v>25456.89</v>
      </c>
    </row>
    <row r="24" ht="15.75" customHeight="1">
      <c r="A24" s="1"/>
      <c r="B24" s="15" t="s">
        <v>78</v>
      </c>
      <c r="C24" s="15" t="s">
        <v>79</v>
      </c>
      <c r="D24" s="23" t="s">
        <v>80</v>
      </c>
      <c r="E24" s="1"/>
      <c r="F24" s="24" t="s">
        <v>11</v>
      </c>
      <c r="G24" s="25" t="s">
        <v>12</v>
      </c>
      <c r="H24" s="26" t="s">
        <v>13</v>
      </c>
      <c r="I24" s="1"/>
      <c r="J24" s="27">
        <v>2.0</v>
      </c>
      <c r="K24" s="28" t="s">
        <v>81</v>
      </c>
      <c r="L24" s="29">
        <v>147229.91</v>
      </c>
    </row>
    <row r="25" ht="15.75" customHeight="1">
      <c r="A25" s="1"/>
      <c r="B25" s="15" t="s">
        <v>82</v>
      </c>
      <c r="C25" s="15" t="s">
        <v>83</v>
      </c>
      <c r="D25" s="23" t="s">
        <v>84</v>
      </c>
      <c r="E25" s="1"/>
      <c r="F25" s="24" t="s">
        <v>11</v>
      </c>
      <c r="G25" s="25" t="s">
        <v>12</v>
      </c>
      <c r="H25" s="26" t="s">
        <v>13</v>
      </c>
      <c r="I25" s="1"/>
      <c r="J25" s="27">
        <v>2.0</v>
      </c>
      <c r="K25" s="28">
        <v>25847.97</v>
      </c>
      <c r="L25" s="29">
        <v>12923.985</v>
      </c>
    </row>
    <row r="26" ht="15.75" customHeight="1">
      <c r="A26" s="1"/>
      <c r="B26" s="15" t="s">
        <v>85</v>
      </c>
      <c r="C26" s="15" t="s">
        <v>86</v>
      </c>
      <c r="D26" s="23" t="s">
        <v>87</v>
      </c>
      <c r="E26" s="1"/>
      <c r="F26" s="24" t="s">
        <v>11</v>
      </c>
      <c r="G26" s="25" t="s">
        <v>12</v>
      </c>
      <c r="H26" s="26" t="s">
        <v>13</v>
      </c>
      <c r="I26" s="1"/>
      <c r="J26" s="27">
        <v>1.0</v>
      </c>
      <c r="K26" s="28">
        <v>15701.66</v>
      </c>
      <c r="L26" s="29">
        <v>15701.66</v>
      </c>
    </row>
    <row r="27" ht="15.75" customHeight="1">
      <c r="A27" s="1"/>
      <c r="B27" s="15" t="s">
        <v>88</v>
      </c>
      <c r="C27" s="15" t="s">
        <v>89</v>
      </c>
      <c r="D27" s="23" t="s">
        <v>90</v>
      </c>
      <c r="E27" s="1"/>
      <c r="F27" s="24" t="s">
        <v>11</v>
      </c>
      <c r="G27" s="25" t="s">
        <v>12</v>
      </c>
      <c r="H27" s="26" t="s">
        <v>13</v>
      </c>
      <c r="I27" s="1"/>
      <c r="J27" s="27">
        <v>1.0</v>
      </c>
      <c r="K27" s="28" t="s">
        <v>91</v>
      </c>
      <c r="L27" s="29">
        <v>169471.39</v>
      </c>
    </row>
    <row r="28" ht="15.75" customHeight="1">
      <c r="A28" s="1"/>
      <c r="B28" s="15" t="s">
        <v>92</v>
      </c>
      <c r="C28" s="15" t="s">
        <v>93</v>
      </c>
      <c r="D28" s="23" t="s">
        <v>94</v>
      </c>
      <c r="E28" s="1"/>
      <c r="F28" s="24" t="s">
        <v>11</v>
      </c>
      <c r="G28" s="25" t="s">
        <v>12</v>
      </c>
      <c r="H28" s="26" t="s">
        <v>13</v>
      </c>
      <c r="I28" s="1"/>
      <c r="J28" s="27">
        <v>10.0</v>
      </c>
      <c r="K28" s="28">
        <v>14795.76</v>
      </c>
      <c r="L28" s="29">
        <v>1479.576</v>
      </c>
    </row>
    <row r="29" ht="15.75" customHeight="1">
      <c r="A29" s="1"/>
      <c r="B29" s="15" t="s">
        <v>95</v>
      </c>
      <c r="C29" s="15" t="s">
        <v>96</v>
      </c>
      <c r="D29" s="23" t="s">
        <v>97</v>
      </c>
      <c r="E29" s="1"/>
      <c r="F29" s="24" t="s">
        <v>11</v>
      </c>
      <c r="G29" s="25" t="s">
        <v>12</v>
      </c>
      <c r="H29" s="26" t="s">
        <v>13</v>
      </c>
      <c r="I29" s="1"/>
      <c r="J29" s="27">
        <v>5.0</v>
      </c>
      <c r="K29" s="28" t="s">
        <v>98</v>
      </c>
      <c r="L29" s="29">
        <v>46607.112</v>
      </c>
    </row>
    <row r="30" ht="15.75" customHeight="1">
      <c r="A30" s="1"/>
      <c r="B30" s="15" t="s">
        <v>99</v>
      </c>
      <c r="C30" s="15" t="s">
        <v>100</v>
      </c>
      <c r="D30" s="23" t="s">
        <v>101</v>
      </c>
      <c r="E30" s="1"/>
      <c r="F30" s="24" t="s">
        <v>11</v>
      </c>
      <c r="G30" s="25" t="s">
        <v>12</v>
      </c>
      <c r="H30" s="26" t="s">
        <v>13</v>
      </c>
      <c r="I30" s="1"/>
      <c r="J30" s="27">
        <v>10.0</v>
      </c>
      <c r="K30" s="28">
        <v>21198.8</v>
      </c>
      <c r="L30" s="29">
        <v>2119.88</v>
      </c>
    </row>
    <row r="31" ht="15.75" customHeight="1">
      <c r="A31" s="1"/>
      <c r="B31" s="15" t="s">
        <v>102</v>
      </c>
      <c r="C31" s="15" t="s">
        <v>103</v>
      </c>
      <c r="D31" s="23" t="s">
        <v>104</v>
      </c>
      <c r="E31" s="1"/>
      <c r="F31" s="24" t="s">
        <v>11</v>
      </c>
      <c r="G31" s="25" t="s">
        <v>12</v>
      </c>
      <c r="H31" s="26" t="s">
        <v>13</v>
      </c>
      <c r="I31" s="1"/>
      <c r="J31" s="27">
        <v>1.0</v>
      </c>
      <c r="K31" s="28" t="s">
        <v>105</v>
      </c>
      <c r="L31" s="29">
        <v>161676.64</v>
      </c>
    </row>
    <row r="32" ht="15.75" customHeight="1">
      <c r="A32" s="1"/>
      <c r="B32" s="15" t="s">
        <v>106</v>
      </c>
      <c r="C32" s="15" t="s">
        <v>107</v>
      </c>
      <c r="D32" s="23" t="s">
        <v>108</v>
      </c>
      <c r="E32" s="1"/>
      <c r="F32" s="24" t="s">
        <v>11</v>
      </c>
      <c r="G32" s="25" t="s">
        <v>12</v>
      </c>
      <c r="H32" s="26" t="s">
        <v>13</v>
      </c>
      <c r="I32" s="1"/>
      <c r="J32" s="27">
        <v>1.0</v>
      </c>
      <c r="K32" s="28">
        <v>16883.32</v>
      </c>
      <c r="L32" s="29">
        <v>16883.32</v>
      </c>
    </row>
    <row r="33" ht="15.75" customHeight="1">
      <c r="A33" s="1"/>
      <c r="B33" s="15" t="s">
        <v>109</v>
      </c>
      <c r="C33" s="15" t="s">
        <v>110</v>
      </c>
      <c r="D33" s="23" t="s">
        <v>111</v>
      </c>
      <c r="E33" s="1"/>
      <c r="F33" s="24" t="s">
        <v>11</v>
      </c>
      <c r="G33" s="25" t="s">
        <v>12</v>
      </c>
      <c r="H33" s="26" t="s">
        <v>13</v>
      </c>
      <c r="I33" s="1"/>
      <c r="J33" s="27">
        <v>2.0</v>
      </c>
      <c r="K33" s="28" t="s">
        <v>112</v>
      </c>
      <c r="L33" s="29">
        <v>50202.345</v>
      </c>
    </row>
    <row r="34" ht="15.75" customHeight="1">
      <c r="A34" s="1"/>
      <c r="B34" s="15" t="s">
        <v>113</v>
      </c>
      <c r="C34" s="15" t="s">
        <v>114</v>
      </c>
      <c r="D34" s="23" t="s">
        <v>115</v>
      </c>
      <c r="E34" s="1"/>
      <c r="F34" s="24" t="s">
        <v>11</v>
      </c>
      <c r="G34" s="25" t="s">
        <v>12</v>
      </c>
      <c r="H34" s="26" t="s">
        <v>13</v>
      </c>
      <c r="I34" s="1"/>
      <c r="J34" s="27">
        <v>5.0</v>
      </c>
      <c r="K34" s="28">
        <v>36509.83</v>
      </c>
      <c r="L34" s="29">
        <v>7301.966</v>
      </c>
    </row>
    <row r="35" ht="15.75" customHeight="1">
      <c r="A35" s="1"/>
      <c r="B35" s="15" t="s">
        <v>116</v>
      </c>
      <c r="C35" s="15" t="s">
        <v>117</v>
      </c>
      <c r="D35" s="23" t="s">
        <v>118</v>
      </c>
      <c r="E35" s="1"/>
      <c r="F35" s="24" t="s">
        <v>11</v>
      </c>
      <c r="G35" s="25" t="s">
        <v>12</v>
      </c>
      <c r="H35" s="26" t="s">
        <v>13</v>
      </c>
      <c r="I35" s="1"/>
      <c r="J35" s="27">
        <v>5.0</v>
      </c>
      <c r="K35" s="28">
        <v>70799.29</v>
      </c>
      <c r="L35" s="29">
        <v>14159.857999999998</v>
      </c>
    </row>
    <row r="36" ht="15.75" customHeight="1">
      <c r="A36" s="1"/>
      <c r="B36" s="15" t="s">
        <v>119</v>
      </c>
      <c r="C36" s="15" t="s">
        <v>120</v>
      </c>
      <c r="D36" s="23" t="s">
        <v>121</v>
      </c>
      <c r="E36" s="1"/>
      <c r="F36" s="24" t="s">
        <v>11</v>
      </c>
      <c r="G36" s="25" t="s">
        <v>12</v>
      </c>
      <c r="H36" s="26" t="s">
        <v>13</v>
      </c>
      <c r="I36" s="1"/>
      <c r="J36" s="27">
        <v>10.0</v>
      </c>
      <c r="K36" s="28">
        <v>60073.63</v>
      </c>
      <c r="L36" s="29">
        <v>6007.362999999999</v>
      </c>
    </row>
    <row r="37" ht="15.75" customHeight="1">
      <c r="A37" s="1"/>
      <c r="B37" s="15" t="s">
        <v>122</v>
      </c>
      <c r="C37" s="15" t="s">
        <v>123</v>
      </c>
      <c r="D37" s="23" t="s">
        <v>124</v>
      </c>
      <c r="E37" s="1"/>
      <c r="F37" s="24" t="s">
        <v>11</v>
      </c>
      <c r="G37" s="25" t="s">
        <v>12</v>
      </c>
      <c r="H37" s="26" t="s">
        <v>13</v>
      </c>
      <c r="I37" s="1"/>
      <c r="J37" s="27">
        <v>10.0</v>
      </c>
      <c r="K37" s="28">
        <v>42228.98</v>
      </c>
      <c r="L37" s="29">
        <v>4222.898</v>
      </c>
    </row>
    <row r="38" ht="15.75" customHeight="1">
      <c r="A38" s="1"/>
      <c r="B38" s="15" t="s">
        <v>125</v>
      </c>
      <c r="C38" s="15" t="s">
        <v>126</v>
      </c>
      <c r="D38" s="23" t="s">
        <v>127</v>
      </c>
      <c r="E38" s="1"/>
      <c r="F38" s="24" t="s">
        <v>11</v>
      </c>
      <c r="G38" s="25" t="s">
        <v>12</v>
      </c>
      <c r="H38" s="26" t="s">
        <v>13</v>
      </c>
      <c r="I38" s="1"/>
      <c r="J38" s="27">
        <v>5.0</v>
      </c>
      <c r="K38" s="28">
        <v>28201.21</v>
      </c>
      <c r="L38" s="29">
        <v>5640.242</v>
      </c>
    </row>
    <row r="39" ht="15.75" customHeight="1">
      <c r="A39" s="1"/>
      <c r="B39" s="15" t="s">
        <v>128</v>
      </c>
      <c r="C39" s="15" t="s">
        <v>129</v>
      </c>
      <c r="D39" s="23" t="s">
        <v>130</v>
      </c>
      <c r="E39" s="1"/>
      <c r="F39" s="24" t="s">
        <v>11</v>
      </c>
      <c r="G39" s="25" t="s">
        <v>12</v>
      </c>
      <c r="H39" s="26" t="s">
        <v>13</v>
      </c>
      <c r="I39" s="1"/>
      <c r="J39" s="27">
        <v>10.0</v>
      </c>
      <c r="K39" s="28">
        <v>42156.41</v>
      </c>
      <c r="L39" s="29">
        <v>4215.6410000000005</v>
      </c>
    </row>
    <row r="40" ht="15.75" customHeight="1">
      <c r="A40" s="1"/>
      <c r="B40" s="15" t="s">
        <v>131</v>
      </c>
      <c r="C40" s="15" t="s">
        <v>132</v>
      </c>
      <c r="D40" s="23" t="s">
        <v>133</v>
      </c>
      <c r="E40" s="1"/>
      <c r="F40" s="24" t="s">
        <v>11</v>
      </c>
      <c r="G40" s="25" t="s">
        <v>12</v>
      </c>
      <c r="H40" s="26" t="s">
        <v>13</v>
      </c>
      <c r="I40" s="1"/>
      <c r="J40" s="27">
        <v>10.0</v>
      </c>
      <c r="K40" s="28" t="s">
        <v>134</v>
      </c>
      <c r="L40" s="29">
        <v>39441.299</v>
      </c>
    </row>
    <row r="41" ht="15.75" customHeight="1">
      <c r="A41" s="1"/>
      <c r="B41" s="15" t="s">
        <v>135</v>
      </c>
      <c r="C41" s="15" t="s">
        <v>136</v>
      </c>
      <c r="D41" s="23" t="s">
        <v>137</v>
      </c>
      <c r="E41" s="1"/>
      <c r="F41" s="24" t="s">
        <v>11</v>
      </c>
      <c r="G41" s="25" t="s">
        <v>12</v>
      </c>
      <c r="H41" s="26" t="s">
        <v>13</v>
      </c>
      <c r="I41" s="1"/>
      <c r="J41" s="27">
        <v>10.0</v>
      </c>
      <c r="K41" s="28">
        <v>22608.42</v>
      </c>
      <c r="L41" s="29">
        <v>2260.8419999999996</v>
      </c>
    </row>
    <row r="42" ht="15.75" customHeight="1">
      <c r="A42" s="1"/>
      <c r="B42" s="15" t="s">
        <v>138</v>
      </c>
      <c r="C42" s="15" t="s">
        <v>139</v>
      </c>
      <c r="D42" s="23" t="s">
        <v>140</v>
      </c>
      <c r="E42" s="1"/>
      <c r="F42" s="24" t="s">
        <v>11</v>
      </c>
      <c r="G42" s="25" t="s">
        <v>12</v>
      </c>
      <c r="H42" s="26" t="s">
        <v>13</v>
      </c>
      <c r="I42" s="1"/>
      <c r="J42" s="27">
        <v>1.0</v>
      </c>
      <c r="K42" s="28">
        <v>49067.0</v>
      </c>
      <c r="L42" s="29">
        <v>49067.0</v>
      </c>
    </row>
    <row r="43" ht="15.75" customHeight="1">
      <c r="A43" s="1"/>
      <c r="B43" s="15" t="s">
        <v>141</v>
      </c>
      <c r="C43" s="15" t="s">
        <v>142</v>
      </c>
      <c r="D43" s="23" t="s">
        <v>143</v>
      </c>
      <c r="E43" s="1"/>
      <c r="F43" s="24" t="s">
        <v>11</v>
      </c>
      <c r="G43" s="25" t="s">
        <v>12</v>
      </c>
      <c r="H43" s="26" t="s">
        <v>13</v>
      </c>
      <c r="I43" s="1"/>
      <c r="J43" s="27">
        <v>2.0</v>
      </c>
      <c r="K43" s="28">
        <v>13365.37</v>
      </c>
      <c r="L43" s="29">
        <v>6682.685</v>
      </c>
    </row>
    <row r="44" ht="15.75" customHeight="1">
      <c r="A44" s="1"/>
      <c r="B44" s="15" t="s">
        <v>144</v>
      </c>
      <c r="C44" s="15" t="s">
        <v>145</v>
      </c>
      <c r="D44" s="23" t="s">
        <v>146</v>
      </c>
      <c r="E44" s="1"/>
      <c r="F44" s="24" t="s">
        <v>11</v>
      </c>
      <c r="G44" s="25" t="s">
        <v>12</v>
      </c>
      <c r="H44" s="26" t="s">
        <v>13</v>
      </c>
      <c r="I44" s="1"/>
      <c r="J44" s="27">
        <v>10.0</v>
      </c>
      <c r="K44" s="28">
        <v>21499.0</v>
      </c>
      <c r="L44" s="29">
        <v>2149.9</v>
      </c>
    </row>
    <row r="45" ht="15.75" customHeight="1">
      <c r="A45" s="1"/>
      <c r="B45" s="15" t="s">
        <v>147</v>
      </c>
      <c r="C45" s="15" t="s">
        <v>148</v>
      </c>
      <c r="D45" s="23" t="s">
        <v>149</v>
      </c>
      <c r="E45" s="1"/>
      <c r="F45" s="24" t="s">
        <v>11</v>
      </c>
      <c r="G45" s="25" t="s">
        <v>12</v>
      </c>
      <c r="H45" s="26" t="s">
        <v>13</v>
      </c>
      <c r="I45" s="1"/>
      <c r="J45" s="27">
        <v>1.0</v>
      </c>
      <c r="K45" s="28" t="s">
        <v>150</v>
      </c>
      <c r="L45" s="29">
        <v>185563.68</v>
      </c>
    </row>
    <row r="46" ht="15.75" customHeight="1">
      <c r="A46" s="1"/>
      <c r="B46" s="15" t="s">
        <v>151</v>
      </c>
      <c r="C46" s="15" t="s">
        <v>152</v>
      </c>
      <c r="D46" s="23" t="s">
        <v>153</v>
      </c>
      <c r="E46" s="1"/>
      <c r="F46" s="24" t="s">
        <v>11</v>
      </c>
      <c r="G46" s="25" t="s">
        <v>12</v>
      </c>
      <c r="H46" s="26" t="s">
        <v>13</v>
      </c>
      <c r="I46" s="1"/>
      <c r="J46" s="27">
        <v>5.0</v>
      </c>
      <c r="K46" s="28">
        <v>33700.86</v>
      </c>
      <c r="L46" s="29">
        <v>6740.1720000000005</v>
      </c>
    </row>
    <row r="47" ht="15.75" customHeight="1">
      <c r="A47" s="1"/>
      <c r="B47" s="15" t="s">
        <v>154</v>
      </c>
      <c r="C47" s="15" t="s">
        <v>155</v>
      </c>
      <c r="D47" s="23" t="s">
        <v>156</v>
      </c>
      <c r="E47" s="1"/>
      <c r="F47" s="24" t="s">
        <v>11</v>
      </c>
      <c r="G47" s="25" t="s">
        <v>12</v>
      </c>
      <c r="H47" s="26" t="s">
        <v>13</v>
      </c>
      <c r="I47" s="1"/>
      <c r="J47" s="27">
        <v>1.0</v>
      </c>
      <c r="K47" s="28">
        <v>42303.85</v>
      </c>
      <c r="L47" s="29">
        <v>42303.85</v>
      </c>
    </row>
    <row r="48" ht="15.75" customHeight="1">
      <c r="A48" s="1"/>
      <c r="B48" s="15" t="s">
        <v>157</v>
      </c>
      <c r="C48" s="15" t="s">
        <v>158</v>
      </c>
      <c r="D48" s="23" t="s">
        <v>159</v>
      </c>
      <c r="E48" s="1"/>
      <c r="F48" s="24" t="s">
        <v>11</v>
      </c>
      <c r="G48" s="25" t="s">
        <v>12</v>
      </c>
      <c r="H48" s="26" t="s">
        <v>13</v>
      </c>
      <c r="I48" s="1"/>
      <c r="J48" s="27">
        <v>10.0</v>
      </c>
      <c r="K48" s="28">
        <v>38860.84</v>
      </c>
      <c r="L48" s="29">
        <v>3886.084</v>
      </c>
    </row>
    <row r="49" ht="15.75" customHeight="1">
      <c r="A49" s="1"/>
      <c r="B49" s="15" t="s">
        <v>160</v>
      </c>
      <c r="C49" s="15" t="s">
        <v>161</v>
      </c>
      <c r="D49" s="23" t="s">
        <v>162</v>
      </c>
      <c r="E49" s="1"/>
      <c r="F49" s="24" t="s">
        <v>11</v>
      </c>
      <c r="G49" s="25" t="s">
        <v>12</v>
      </c>
      <c r="H49" s="26" t="s">
        <v>13</v>
      </c>
      <c r="I49" s="1"/>
      <c r="J49" s="27">
        <v>2.0</v>
      </c>
      <c r="K49" s="28">
        <v>17548.6</v>
      </c>
      <c r="L49" s="29">
        <v>8774.3</v>
      </c>
    </row>
    <row r="50" ht="15.75" customHeight="1">
      <c r="A50" s="1"/>
      <c r="B50" s="15" t="s">
        <v>163</v>
      </c>
      <c r="C50" s="15" t="s">
        <v>164</v>
      </c>
      <c r="D50" s="23" t="s">
        <v>165</v>
      </c>
      <c r="E50" s="1"/>
      <c r="F50" s="24" t="s">
        <v>11</v>
      </c>
      <c r="G50" s="25" t="s">
        <v>12</v>
      </c>
      <c r="H50" s="26" t="s">
        <v>13</v>
      </c>
      <c r="I50" s="1"/>
      <c r="J50" s="27">
        <v>1.0</v>
      </c>
      <c r="K50" s="28">
        <v>13988.55</v>
      </c>
      <c r="L50" s="29">
        <v>13988.55</v>
      </c>
    </row>
    <row r="51" ht="15.75" customHeight="1">
      <c r="A51" s="1"/>
      <c r="B51" s="15" t="s">
        <v>166</v>
      </c>
      <c r="C51" s="15" t="s">
        <v>167</v>
      </c>
      <c r="D51" s="23" t="s">
        <v>168</v>
      </c>
      <c r="E51" s="1"/>
      <c r="F51" s="24" t="s">
        <v>11</v>
      </c>
      <c r="G51" s="25" t="s">
        <v>12</v>
      </c>
      <c r="H51" s="26" t="s">
        <v>13</v>
      </c>
      <c r="I51" s="1"/>
      <c r="J51" s="27">
        <v>2.0</v>
      </c>
      <c r="K51" s="28">
        <v>29218.71</v>
      </c>
      <c r="L51" s="29">
        <v>14609.355</v>
      </c>
    </row>
    <row r="52" ht="15.75" customHeight="1">
      <c r="A52" s="1"/>
      <c r="B52" s="15" t="s">
        <v>169</v>
      </c>
      <c r="C52" s="15" t="s">
        <v>170</v>
      </c>
      <c r="D52" s="23" t="s">
        <v>171</v>
      </c>
      <c r="E52" s="1"/>
      <c r="F52" s="24" t="s">
        <v>11</v>
      </c>
      <c r="G52" s="25" t="s">
        <v>12</v>
      </c>
      <c r="H52" s="26" t="s">
        <v>13</v>
      </c>
      <c r="I52" s="1"/>
      <c r="J52" s="27">
        <v>1.0</v>
      </c>
      <c r="K52" s="28">
        <v>13673.2</v>
      </c>
      <c r="L52" s="29">
        <v>13673.2</v>
      </c>
    </row>
    <row r="53" ht="15.75" customHeight="1">
      <c r="A53" s="1"/>
      <c r="B53" s="15" t="s">
        <v>172</v>
      </c>
      <c r="C53" s="15" t="s">
        <v>173</v>
      </c>
      <c r="D53" s="23" t="s">
        <v>174</v>
      </c>
      <c r="E53" s="1"/>
      <c r="F53" s="24" t="s">
        <v>11</v>
      </c>
      <c r="G53" s="25" t="s">
        <v>12</v>
      </c>
      <c r="H53" s="26" t="s">
        <v>13</v>
      </c>
      <c r="I53" s="1"/>
      <c r="J53" s="27">
        <v>2.0</v>
      </c>
      <c r="K53" s="28">
        <v>26877.1</v>
      </c>
      <c r="L53" s="29">
        <v>13438.55</v>
      </c>
    </row>
    <row r="54" ht="15.75" customHeight="1">
      <c r="A54" s="1"/>
      <c r="B54" s="15" t="s">
        <v>175</v>
      </c>
      <c r="C54" s="15" t="s">
        <v>176</v>
      </c>
      <c r="D54" s="23" t="s">
        <v>177</v>
      </c>
      <c r="E54" s="1"/>
      <c r="F54" s="24" t="s">
        <v>11</v>
      </c>
      <c r="G54" s="25" t="s">
        <v>12</v>
      </c>
      <c r="H54" s="26" t="s">
        <v>13</v>
      </c>
      <c r="I54" s="1"/>
      <c r="J54" s="27">
        <v>2.0</v>
      </c>
      <c r="K54" s="28">
        <v>12614.82</v>
      </c>
      <c r="L54" s="29">
        <v>6307.41</v>
      </c>
    </row>
    <row r="55" ht="15.75" customHeight="1">
      <c r="A55" s="1"/>
      <c r="B55" s="15" t="s">
        <v>178</v>
      </c>
      <c r="C55" s="15" t="s">
        <v>179</v>
      </c>
      <c r="D55" s="23" t="s">
        <v>180</v>
      </c>
      <c r="E55" s="1"/>
      <c r="F55" s="24" t="s">
        <v>11</v>
      </c>
      <c r="G55" s="25" t="s">
        <v>12</v>
      </c>
      <c r="H55" s="26" t="s">
        <v>13</v>
      </c>
      <c r="I55" s="1"/>
      <c r="J55" s="27">
        <v>5.0</v>
      </c>
      <c r="K55" s="28">
        <v>35240.37</v>
      </c>
      <c r="L55" s="29">
        <v>7048.0740000000005</v>
      </c>
    </row>
    <row r="56" ht="15.75" customHeight="1">
      <c r="A56" s="1"/>
      <c r="B56" s="15" t="s">
        <v>181</v>
      </c>
      <c r="C56" s="15" t="s">
        <v>182</v>
      </c>
      <c r="D56" s="23" t="s">
        <v>183</v>
      </c>
      <c r="E56" s="1"/>
      <c r="F56" s="24" t="s">
        <v>11</v>
      </c>
      <c r="G56" s="25" t="s">
        <v>12</v>
      </c>
      <c r="H56" s="26" t="s">
        <v>13</v>
      </c>
      <c r="I56" s="1"/>
      <c r="J56" s="27">
        <v>10.0</v>
      </c>
      <c r="K56" s="28">
        <v>23690.93</v>
      </c>
      <c r="L56" s="29">
        <v>2369.093</v>
      </c>
    </row>
    <row r="57" ht="15.75" customHeight="1">
      <c r="A57" s="1"/>
      <c r="B57" s="15" t="s">
        <v>184</v>
      </c>
      <c r="C57" s="15" t="s">
        <v>185</v>
      </c>
      <c r="D57" s="23" t="s">
        <v>186</v>
      </c>
      <c r="E57" s="1"/>
      <c r="F57" s="24" t="s">
        <v>11</v>
      </c>
      <c r="G57" s="25" t="s">
        <v>12</v>
      </c>
      <c r="H57" s="26" t="s">
        <v>13</v>
      </c>
      <c r="I57" s="1"/>
      <c r="J57" s="27">
        <v>10.0</v>
      </c>
      <c r="K57" s="28">
        <v>3648.44</v>
      </c>
      <c r="L57" s="29">
        <v>364.844</v>
      </c>
    </row>
    <row r="58" ht="15.75" customHeight="1">
      <c r="A58" s="1"/>
      <c r="B58" s="15" t="s">
        <v>187</v>
      </c>
      <c r="C58" s="15" t="s">
        <v>188</v>
      </c>
      <c r="D58" s="23" t="s">
        <v>189</v>
      </c>
      <c r="E58" s="1"/>
      <c r="F58" s="24" t="s">
        <v>11</v>
      </c>
      <c r="G58" s="25" t="s">
        <v>12</v>
      </c>
      <c r="H58" s="26" t="s">
        <v>13</v>
      </c>
      <c r="I58" s="1"/>
      <c r="J58" s="27">
        <v>10.0</v>
      </c>
      <c r="K58" s="28">
        <v>5899.02</v>
      </c>
      <c r="L58" s="29">
        <v>589.902</v>
      </c>
    </row>
    <row r="59" ht="15.75" customHeight="1">
      <c r="A59" s="1"/>
      <c r="B59" s="15" t="s">
        <v>190</v>
      </c>
      <c r="C59" s="15" t="s">
        <v>191</v>
      </c>
      <c r="D59" s="23" t="s">
        <v>192</v>
      </c>
      <c r="E59" s="1"/>
      <c r="F59" s="24" t="s">
        <v>11</v>
      </c>
      <c r="G59" s="25" t="s">
        <v>12</v>
      </c>
      <c r="H59" s="26" t="s">
        <v>13</v>
      </c>
      <c r="I59" s="1"/>
      <c r="J59" s="27">
        <v>1.0</v>
      </c>
      <c r="K59" s="28">
        <v>7339.41</v>
      </c>
      <c r="L59" s="29">
        <v>7339.41</v>
      </c>
    </row>
    <row r="60" ht="15.75" customHeight="1">
      <c r="A60" s="1"/>
      <c r="B60" s="15" t="s">
        <v>193</v>
      </c>
      <c r="C60" s="15" t="s">
        <v>194</v>
      </c>
      <c r="D60" s="23" t="s">
        <v>195</v>
      </c>
      <c r="E60" s="1"/>
      <c r="F60" s="24" t="s">
        <v>11</v>
      </c>
      <c r="G60" s="25" t="s">
        <v>12</v>
      </c>
      <c r="H60" s="26" t="s">
        <v>13</v>
      </c>
      <c r="I60" s="1"/>
      <c r="J60" s="27">
        <v>10.0</v>
      </c>
      <c r="K60" s="28">
        <v>18426.86</v>
      </c>
      <c r="L60" s="29">
        <v>1842.6860000000001</v>
      </c>
    </row>
    <row r="61" ht="15.75" customHeight="1">
      <c r="A61" s="1"/>
      <c r="B61" s="15" t="s">
        <v>196</v>
      </c>
      <c r="C61" s="15" t="s">
        <v>197</v>
      </c>
      <c r="D61" s="23" t="s">
        <v>198</v>
      </c>
      <c r="E61" s="1"/>
      <c r="F61" s="24" t="s">
        <v>11</v>
      </c>
      <c r="G61" s="25" t="s">
        <v>12</v>
      </c>
      <c r="H61" s="26" t="s">
        <v>13</v>
      </c>
      <c r="I61" s="1"/>
      <c r="J61" s="27">
        <v>1.0</v>
      </c>
      <c r="K61" s="28">
        <v>4094.65</v>
      </c>
      <c r="L61" s="29">
        <v>4094.65</v>
      </c>
    </row>
    <row r="62" ht="15.75" customHeight="1">
      <c r="A62" s="1"/>
      <c r="B62" s="15" t="s">
        <v>199</v>
      </c>
      <c r="C62" s="15" t="s">
        <v>200</v>
      </c>
      <c r="D62" s="23" t="s">
        <v>201</v>
      </c>
      <c r="E62" s="1"/>
      <c r="F62" s="24" t="s">
        <v>11</v>
      </c>
      <c r="G62" s="25" t="s">
        <v>12</v>
      </c>
      <c r="H62" s="26" t="s">
        <v>13</v>
      </c>
      <c r="I62" s="1"/>
      <c r="J62" s="27">
        <v>1.0</v>
      </c>
      <c r="K62" s="28">
        <v>4356.75</v>
      </c>
      <c r="L62" s="29">
        <v>4356.75</v>
      </c>
    </row>
    <row r="63" ht="15.75" customHeight="1">
      <c r="A63" s="1"/>
      <c r="B63" s="15" t="s">
        <v>202</v>
      </c>
      <c r="C63" s="15" t="s">
        <v>203</v>
      </c>
      <c r="D63" s="23" t="s">
        <v>204</v>
      </c>
      <c r="E63" s="1"/>
      <c r="F63" s="24" t="s">
        <v>11</v>
      </c>
      <c r="G63" s="25" t="s">
        <v>12</v>
      </c>
      <c r="H63" s="26" t="s">
        <v>13</v>
      </c>
      <c r="I63" s="1"/>
      <c r="J63" s="27">
        <v>1.0</v>
      </c>
      <c r="K63" s="28">
        <v>22209.23</v>
      </c>
      <c r="L63" s="29">
        <v>22209.23</v>
      </c>
    </row>
    <row r="64" ht="15.75" customHeight="1">
      <c r="A64" s="1"/>
      <c r="B64" s="15" t="s">
        <v>205</v>
      </c>
      <c r="C64" s="15" t="s">
        <v>206</v>
      </c>
      <c r="D64" s="23" t="s">
        <v>207</v>
      </c>
      <c r="E64" s="1"/>
      <c r="F64" s="24" t="s">
        <v>11</v>
      </c>
      <c r="G64" s="25" t="s">
        <v>12</v>
      </c>
      <c r="H64" s="26" t="s">
        <v>13</v>
      </c>
      <c r="I64" s="1"/>
      <c r="J64" s="27">
        <v>2.0</v>
      </c>
      <c r="K64" s="28">
        <v>26382.34</v>
      </c>
      <c r="L64" s="29">
        <v>13191.17</v>
      </c>
    </row>
    <row r="65" ht="15.75" customHeight="1">
      <c r="A65" s="1"/>
      <c r="B65" s="15" t="s">
        <v>208</v>
      </c>
      <c r="C65" s="15" t="s">
        <v>209</v>
      </c>
      <c r="D65" s="23" t="s">
        <v>210</v>
      </c>
      <c r="E65" s="1"/>
      <c r="F65" s="24" t="s">
        <v>11</v>
      </c>
      <c r="G65" s="25" t="s">
        <v>12</v>
      </c>
      <c r="H65" s="26" t="s">
        <v>13</v>
      </c>
      <c r="I65" s="1"/>
      <c r="J65" s="27">
        <v>1.0</v>
      </c>
      <c r="K65" s="28">
        <v>15710.15</v>
      </c>
      <c r="L65" s="29">
        <v>15710.15</v>
      </c>
    </row>
    <row r="66" ht="15.75" customHeight="1">
      <c r="A66" s="1"/>
      <c r="B66" s="15" t="s">
        <v>211</v>
      </c>
      <c r="C66" s="15" t="s">
        <v>212</v>
      </c>
      <c r="D66" s="23" t="s">
        <v>213</v>
      </c>
      <c r="E66" s="1"/>
      <c r="F66" s="24" t="s">
        <v>11</v>
      </c>
      <c r="G66" s="25" t="s">
        <v>12</v>
      </c>
      <c r="H66" s="26" t="s">
        <v>13</v>
      </c>
      <c r="I66" s="1"/>
      <c r="J66" s="27">
        <v>2.0</v>
      </c>
      <c r="K66" s="28">
        <v>47369.74</v>
      </c>
      <c r="L66" s="29">
        <v>23684.87</v>
      </c>
    </row>
    <row r="67" ht="15.75" customHeight="1">
      <c r="A67" s="1"/>
      <c r="B67" s="15" t="s">
        <v>214</v>
      </c>
      <c r="C67" s="15" t="s">
        <v>215</v>
      </c>
      <c r="D67" s="23" t="s">
        <v>216</v>
      </c>
      <c r="E67" s="1"/>
      <c r="F67" s="24" t="s">
        <v>11</v>
      </c>
      <c r="G67" s="25" t="s">
        <v>12</v>
      </c>
      <c r="H67" s="26" t="s">
        <v>13</v>
      </c>
      <c r="I67" s="1"/>
      <c r="J67" s="27">
        <v>2.0</v>
      </c>
      <c r="K67" s="28" t="s">
        <v>217</v>
      </c>
      <c r="L67" s="29">
        <v>188081.5</v>
      </c>
    </row>
    <row r="68" ht="15.75" customHeight="1">
      <c r="A68" s="1"/>
      <c r="B68" s="15" t="s">
        <v>218</v>
      </c>
      <c r="C68" s="15" t="s">
        <v>219</v>
      </c>
      <c r="D68" s="23" t="s">
        <v>220</v>
      </c>
      <c r="E68" s="1"/>
      <c r="F68" s="24" t="s">
        <v>11</v>
      </c>
      <c r="G68" s="25" t="s">
        <v>12</v>
      </c>
      <c r="H68" s="26" t="s">
        <v>13</v>
      </c>
      <c r="I68" s="1"/>
      <c r="J68" s="27">
        <v>2.0</v>
      </c>
      <c r="K68" s="28">
        <v>25647.11</v>
      </c>
      <c r="L68" s="29">
        <v>12823.555</v>
      </c>
    </row>
    <row r="69" ht="15.75" customHeight="1">
      <c r="A69" s="1"/>
      <c r="B69" s="15" t="s">
        <v>221</v>
      </c>
      <c r="C69" s="15" t="s">
        <v>222</v>
      </c>
      <c r="D69" s="23" t="s">
        <v>223</v>
      </c>
      <c r="E69" s="1"/>
      <c r="F69" s="24" t="s">
        <v>11</v>
      </c>
      <c r="G69" s="25" t="s">
        <v>12</v>
      </c>
      <c r="H69" s="26" t="s">
        <v>13</v>
      </c>
      <c r="I69" s="1"/>
      <c r="J69" s="27">
        <v>1.0</v>
      </c>
      <c r="K69" s="28">
        <v>21862.4</v>
      </c>
      <c r="L69" s="29">
        <v>21862.4</v>
      </c>
    </row>
    <row r="70" ht="15.75" customHeight="1">
      <c r="A70" s="1"/>
      <c r="B70" s="15" t="s">
        <v>224</v>
      </c>
      <c r="C70" s="15" t="s">
        <v>225</v>
      </c>
      <c r="D70" s="23" t="s">
        <v>226</v>
      </c>
      <c r="E70" s="1"/>
      <c r="F70" s="24" t="s">
        <v>11</v>
      </c>
      <c r="G70" s="25" t="s">
        <v>12</v>
      </c>
      <c r="H70" s="26" t="s">
        <v>13</v>
      </c>
      <c r="I70" s="1"/>
      <c r="J70" s="27">
        <v>10.0</v>
      </c>
      <c r="K70" s="28">
        <v>14556.39</v>
      </c>
      <c r="L70" s="29">
        <v>1455.639</v>
      </c>
    </row>
    <row r="71" ht="15.75" customHeight="1">
      <c r="A71" s="1"/>
      <c r="B71" s="15" t="s">
        <v>227</v>
      </c>
      <c r="C71" s="15" t="s">
        <v>228</v>
      </c>
      <c r="D71" s="23" t="s">
        <v>229</v>
      </c>
      <c r="E71" s="1"/>
      <c r="F71" s="24" t="s">
        <v>11</v>
      </c>
      <c r="G71" s="25" t="s">
        <v>12</v>
      </c>
      <c r="H71" s="26" t="s">
        <v>13</v>
      </c>
      <c r="I71" s="1"/>
      <c r="J71" s="27">
        <v>1.0</v>
      </c>
      <c r="K71" s="28" t="s">
        <v>230</v>
      </c>
      <c r="L71" s="29">
        <v>154268.51</v>
      </c>
    </row>
    <row r="72" ht="15.75" customHeight="1">
      <c r="A72" s="1"/>
      <c r="B72" s="15" t="s">
        <v>231</v>
      </c>
      <c r="C72" s="15" t="s">
        <v>232</v>
      </c>
      <c r="D72" s="23" t="s">
        <v>233</v>
      </c>
      <c r="E72" s="1"/>
      <c r="F72" s="24" t="s">
        <v>11</v>
      </c>
      <c r="G72" s="25" t="s">
        <v>12</v>
      </c>
      <c r="H72" s="26" t="s">
        <v>13</v>
      </c>
      <c r="I72" s="1"/>
      <c r="J72" s="27">
        <v>2.0</v>
      </c>
      <c r="K72" s="28">
        <v>3169.99</v>
      </c>
      <c r="L72" s="29">
        <v>1584.995</v>
      </c>
    </row>
    <row r="73" ht="15.75" customHeight="1">
      <c r="A73" s="1"/>
      <c r="B73" s="15" t="s">
        <v>234</v>
      </c>
      <c r="C73" s="15" t="s">
        <v>235</v>
      </c>
      <c r="D73" s="23" t="s">
        <v>236</v>
      </c>
      <c r="E73" s="1"/>
      <c r="F73" s="24" t="s">
        <v>11</v>
      </c>
      <c r="G73" s="25" t="s">
        <v>12</v>
      </c>
      <c r="H73" s="26" t="s">
        <v>13</v>
      </c>
      <c r="I73" s="1"/>
      <c r="J73" s="27">
        <v>10.0</v>
      </c>
      <c r="K73" s="28">
        <v>16350.77</v>
      </c>
      <c r="L73" s="29">
        <v>1635.077</v>
      </c>
    </row>
    <row r="74" ht="15.75" customHeight="1">
      <c r="A74" s="1"/>
      <c r="B74" s="15" t="s">
        <v>237</v>
      </c>
      <c r="C74" s="15" t="s">
        <v>238</v>
      </c>
      <c r="D74" s="23" t="s">
        <v>239</v>
      </c>
      <c r="E74" s="1"/>
      <c r="F74" s="24" t="s">
        <v>11</v>
      </c>
      <c r="G74" s="25" t="s">
        <v>12</v>
      </c>
      <c r="H74" s="26" t="s">
        <v>13</v>
      </c>
      <c r="I74" s="1"/>
      <c r="J74" s="27">
        <v>10.0</v>
      </c>
      <c r="K74" s="28">
        <v>2478.43</v>
      </c>
      <c r="L74" s="29">
        <v>247.843</v>
      </c>
    </row>
    <row r="75" ht="15.75" customHeight="1">
      <c r="A75" s="1"/>
      <c r="B75" s="15" t="s">
        <v>240</v>
      </c>
      <c r="C75" s="15" t="s">
        <v>241</v>
      </c>
      <c r="D75" s="23" t="s">
        <v>242</v>
      </c>
      <c r="E75" s="1"/>
      <c r="F75" s="24" t="s">
        <v>11</v>
      </c>
      <c r="G75" s="25" t="s">
        <v>12</v>
      </c>
      <c r="H75" s="26" t="s">
        <v>13</v>
      </c>
      <c r="I75" s="1"/>
      <c r="J75" s="27">
        <v>2.0</v>
      </c>
      <c r="K75" s="28">
        <v>15130.52</v>
      </c>
      <c r="L75" s="29">
        <v>7565.26</v>
      </c>
    </row>
    <row r="76" ht="15.75" customHeight="1">
      <c r="A76" s="1"/>
      <c r="B76" s="15" t="s">
        <v>243</v>
      </c>
      <c r="C76" s="15" t="s">
        <v>244</v>
      </c>
      <c r="D76" s="23" t="s">
        <v>245</v>
      </c>
      <c r="E76" s="1"/>
      <c r="F76" s="24" t="s">
        <v>11</v>
      </c>
      <c r="G76" s="25" t="s">
        <v>12</v>
      </c>
      <c r="H76" s="26" t="s">
        <v>13</v>
      </c>
      <c r="I76" s="1"/>
      <c r="J76" s="27">
        <v>10.0</v>
      </c>
      <c r="K76" s="28">
        <v>11919.55</v>
      </c>
      <c r="L76" s="29">
        <v>1191.955</v>
      </c>
    </row>
    <row r="77" ht="15.75" customHeight="1">
      <c r="A77" s="1"/>
      <c r="B77" s="15" t="s">
        <v>246</v>
      </c>
      <c r="C77" s="15" t="s">
        <v>247</v>
      </c>
      <c r="D77" s="23" t="s">
        <v>248</v>
      </c>
      <c r="E77" s="1"/>
      <c r="F77" s="24" t="s">
        <v>11</v>
      </c>
      <c r="G77" s="25" t="s">
        <v>12</v>
      </c>
      <c r="H77" s="26" t="s">
        <v>13</v>
      </c>
      <c r="I77" s="1"/>
      <c r="J77" s="27">
        <v>10.0</v>
      </c>
      <c r="K77" s="28">
        <v>18450.03</v>
      </c>
      <c r="L77" s="29">
        <v>1845.003</v>
      </c>
    </row>
    <row r="78" ht="15.75" customHeight="1">
      <c r="A78" s="1"/>
      <c r="B78" s="15" t="s">
        <v>249</v>
      </c>
      <c r="C78" s="15" t="s">
        <v>250</v>
      </c>
      <c r="D78" s="23" t="s">
        <v>251</v>
      </c>
      <c r="E78" s="1"/>
      <c r="F78" s="24" t="s">
        <v>11</v>
      </c>
      <c r="G78" s="25" t="s">
        <v>12</v>
      </c>
      <c r="H78" s="26" t="s">
        <v>13</v>
      </c>
      <c r="I78" s="1"/>
      <c r="J78" s="27">
        <v>5.0</v>
      </c>
      <c r="K78" s="28" t="s">
        <v>252</v>
      </c>
      <c r="L78" s="29">
        <v>54278.543999999994</v>
      </c>
    </row>
    <row r="79" ht="15.75" customHeight="1">
      <c r="A79" s="1"/>
      <c r="B79" s="15" t="s">
        <v>253</v>
      </c>
      <c r="C79" s="15" t="s">
        <v>254</v>
      </c>
      <c r="D79" s="23" t="s">
        <v>255</v>
      </c>
      <c r="E79" s="1"/>
      <c r="F79" s="24" t="s">
        <v>11</v>
      </c>
      <c r="G79" s="25" t="s">
        <v>12</v>
      </c>
      <c r="H79" s="26" t="s">
        <v>13</v>
      </c>
      <c r="I79" s="1"/>
      <c r="J79" s="27">
        <v>10.0</v>
      </c>
      <c r="K79" s="28">
        <v>19788.09</v>
      </c>
      <c r="L79" s="29">
        <v>1978.809</v>
      </c>
    </row>
    <row r="80" ht="15.75" customHeight="1">
      <c r="A80" s="1"/>
      <c r="B80" s="15" t="s">
        <v>256</v>
      </c>
      <c r="C80" s="15" t="s">
        <v>257</v>
      </c>
      <c r="D80" s="23" t="s">
        <v>258</v>
      </c>
      <c r="E80" s="1"/>
      <c r="F80" s="24" t="s">
        <v>11</v>
      </c>
      <c r="G80" s="25" t="s">
        <v>12</v>
      </c>
      <c r="H80" s="26" t="s">
        <v>13</v>
      </c>
      <c r="I80" s="1"/>
      <c r="J80" s="27">
        <v>1.0</v>
      </c>
      <c r="K80" s="28" t="s">
        <v>259</v>
      </c>
      <c r="L80" s="29">
        <v>128599.48</v>
      </c>
    </row>
    <row r="81" ht="15.75" customHeight="1">
      <c r="A81" s="1"/>
      <c r="B81" s="15" t="s">
        <v>260</v>
      </c>
      <c r="C81" s="15" t="s">
        <v>261</v>
      </c>
      <c r="D81" s="23" t="s">
        <v>262</v>
      </c>
      <c r="E81" s="1"/>
      <c r="F81" s="24" t="s">
        <v>11</v>
      </c>
      <c r="G81" s="25" t="s">
        <v>12</v>
      </c>
      <c r="H81" s="26" t="s">
        <v>13</v>
      </c>
      <c r="I81" s="1"/>
      <c r="J81" s="27">
        <v>1.0</v>
      </c>
      <c r="K81" s="28">
        <v>3667.77</v>
      </c>
      <c r="L81" s="29">
        <v>3667.77</v>
      </c>
    </row>
    <row r="82" ht="15.75" customHeight="1">
      <c r="A82" s="1"/>
      <c r="B82" s="15" t="s">
        <v>263</v>
      </c>
      <c r="C82" s="15" t="s">
        <v>264</v>
      </c>
      <c r="D82" s="23" t="s">
        <v>265</v>
      </c>
      <c r="E82" s="1"/>
      <c r="F82" s="24" t="s">
        <v>11</v>
      </c>
      <c r="G82" s="25" t="s">
        <v>12</v>
      </c>
      <c r="H82" s="26" t="s">
        <v>13</v>
      </c>
      <c r="I82" s="1"/>
      <c r="J82" s="27">
        <v>1.0</v>
      </c>
      <c r="K82" s="28">
        <v>23857.97</v>
      </c>
      <c r="L82" s="29">
        <v>23857.97</v>
      </c>
    </row>
    <row r="83" ht="15.75" customHeight="1">
      <c r="A83" s="1"/>
      <c r="B83" s="15" t="s">
        <v>266</v>
      </c>
      <c r="C83" s="15" t="s">
        <v>267</v>
      </c>
      <c r="D83" s="23" t="s">
        <v>268</v>
      </c>
      <c r="E83" s="1"/>
      <c r="F83" s="24" t="s">
        <v>11</v>
      </c>
      <c r="G83" s="25" t="s">
        <v>12</v>
      </c>
      <c r="H83" s="26" t="s">
        <v>13</v>
      </c>
      <c r="I83" s="1"/>
      <c r="J83" s="27">
        <v>10.0</v>
      </c>
      <c r="K83" s="28">
        <v>12767.21</v>
      </c>
      <c r="L83" s="29">
        <v>1276.721</v>
      </c>
    </row>
    <row r="84" ht="15.75" customHeight="1">
      <c r="A84" s="1"/>
      <c r="B84" s="15" t="s">
        <v>269</v>
      </c>
      <c r="C84" s="15" t="s">
        <v>270</v>
      </c>
      <c r="D84" s="23" t="s">
        <v>271</v>
      </c>
      <c r="E84" s="1"/>
      <c r="F84" s="24" t="s">
        <v>11</v>
      </c>
      <c r="G84" s="25" t="s">
        <v>12</v>
      </c>
      <c r="H84" s="26" t="s">
        <v>13</v>
      </c>
      <c r="I84" s="1"/>
      <c r="J84" s="27">
        <v>10.0</v>
      </c>
      <c r="K84" s="28">
        <v>2073.24</v>
      </c>
      <c r="L84" s="29">
        <v>207.32399999999998</v>
      </c>
    </row>
    <row r="85" ht="15.75" customHeight="1">
      <c r="A85" s="1"/>
      <c r="B85" s="15" t="s">
        <v>272</v>
      </c>
      <c r="C85" s="15" t="s">
        <v>273</v>
      </c>
      <c r="D85" s="23" t="s">
        <v>274</v>
      </c>
      <c r="E85" s="1"/>
      <c r="F85" s="24" t="s">
        <v>11</v>
      </c>
      <c r="G85" s="25" t="s">
        <v>12</v>
      </c>
      <c r="H85" s="26" t="s">
        <v>13</v>
      </c>
      <c r="I85" s="1"/>
      <c r="J85" s="27">
        <v>10.0</v>
      </c>
      <c r="K85" s="28">
        <v>6369.02</v>
      </c>
      <c r="L85" s="29">
        <v>636.902</v>
      </c>
    </row>
    <row r="86" ht="15.75" customHeight="1">
      <c r="A86" s="1"/>
      <c r="B86" s="15" t="s">
        <v>275</v>
      </c>
      <c r="C86" s="15" t="s">
        <v>276</v>
      </c>
      <c r="D86" s="23" t="s">
        <v>277</v>
      </c>
      <c r="E86" s="1"/>
      <c r="F86" s="24" t="s">
        <v>11</v>
      </c>
      <c r="G86" s="25" t="s">
        <v>12</v>
      </c>
      <c r="H86" s="26" t="s">
        <v>13</v>
      </c>
      <c r="I86" s="1"/>
      <c r="J86" s="27">
        <v>2.0</v>
      </c>
      <c r="K86" s="28">
        <v>9763.72</v>
      </c>
      <c r="L86" s="29">
        <v>4881.86</v>
      </c>
    </row>
    <row r="87" ht="15.75" customHeight="1">
      <c r="A87" s="1"/>
      <c r="B87" s="15" t="s">
        <v>278</v>
      </c>
      <c r="C87" s="15" t="s">
        <v>279</v>
      </c>
      <c r="D87" s="23" t="s">
        <v>280</v>
      </c>
      <c r="E87" s="1"/>
      <c r="F87" s="24" t="s">
        <v>11</v>
      </c>
      <c r="G87" s="25" t="s">
        <v>12</v>
      </c>
      <c r="H87" s="26" t="s">
        <v>13</v>
      </c>
      <c r="I87" s="1"/>
      <c r="J87" s="27">
        <v>2.0</v>
      </c>
      <c r="K87" s="28" t="s">
        <v>281</v>
      </c>
      <c r="L87" s="29">
        <v>71694.375</v>
      </c>
    </row>
    <row r="88" ht="15.75" customHeight="1">
      <c r="A88" s="1"/>
      <c r="B88" s="15" t="s">
        <v>282</v>
      </c>
      <c r="C88" s="15" t="s">
        <v>283</v>
      </c>
      <c r="D88" s="23" t="s">
        <v>284</v>
      </c>
      <c r="E88" s="1"/>
      <c r="F88" s="24" t="s">
        <v>11</v>
      </c>
      <c r="G88" s="25" t="s">
        <v>12</v>
      </c>
      <c r="H88" s="26" t="s">
        <v>13</v>
      </c>
      <c r="I88" s="1"/>
      <c r="J88" s="27">
        <v>2.0</v>
      </c>
      <c r="K88" s="28">
        <v>15114.03</v>
      </c>
      <c r="L88" s="29">
        <v>7557.015</v>
      </c>
    </row>
    <row r="89" ht="15.75" customHeight="1">
      <c r="A89" s="1"/>
      <c r="B89" s="15" t="s">
        <v>285</v>
      </c>
      <c r="C89" s="15" t="s">
        <v>286</v>
      </c>
      <c r="D89" s="23" t="s">
        <v>287</v>
      </c>
      <c r="E89" s="1"/>
      <c r="F89" s="24" t="s">
        <v>11</v>
      </c>
      <c r="G89" s="25" t="s">
        <v>12</v>
      </c>
      <c r="H89" s="26" t="s">
        <v>13</v>
      </c>
      <c r="I89" s="1"/>
      <c r="J89" s="27">
        <v>5.0</v>
      </c>
      <c r="K89" s="28">
        <v>43871.15</v>
      </c>
      <c r="L89" s="29">
        <v>8774.23</v>
      </c>
    </row>
    <row r="90" ht="15.75" customHeight="1">
      <c r="A90" s="1"/>
      <c r="B90" s="15" t="s">
        <v>288</v>
      </c>
      <c r="C90" s="15" t="s">
        <v>289</v>
      </c>
      <c r="D90" s="23" t="s">
        <v>290</v>
      </c>
      <c r="E90" s="1"/>
      <c r="F90" s="24" t="s">
        <v>11</v>
      </c>
      <c r="G90" s="25" t="s">
        <v>12</v>
      </c>
      <c r="H90" s="26" t="s">
        <v>13</v>
      </c>
      <c r="I90" s="1"/>
      <c r="J90" s="27">
        <v>2.0</v>
      </c>
      <c r="K90" s="28">
        <v>8815.11</v>
      </c>
      <c r="L90" s="29">
        <v>4407.555</v>
      </c>
    </row>
    <row r="91" ht="15.75" customHeight="1">
      <c r="A91" s="1"/>
      <c r="B91" s="15" t="s">
        <v>291</v>
      </c>
      <c r="C91" s="15" t="s">
        <v>292</v>
      </c>
      <c r="D91" s="23" t="s">
        <v>293</v>
      </c>
      <c r="E91" s="1"/>
      <c r="F91" s="24" t="s">
        <v>11</v>
      </c>
      <c r="G91" s="25" t="s">
        <v>12</v>
      </c>
      <c r="H91" s="26" t="s">
        <v>13</v>
      </c>
      <c r="I91" s="1"/>
      <c r="J91" s="27">
        <v>1.0</v>
      </c>
      <c r="K91" s="28">
        <v>15039.5</v>
      </c>
      <c r="L91" s="29">
        <v>15039.5</v>
      </c>
    </row>
    <row r="92" ht="15.75" customHeight="1">
      <c r="A92" s="1"/>
      <c r="B92" s="15" t="s">
        <v>294</v>
      </c>
      <c r="C92" s="15" t="s">
        <v>295</v>
      </c>
      <c r="D92" s="23" t="s">
        <v>296</v>
      </c>
      <c r="E92" s="1"/>
      <c r="F92" s="24" t="s">
        <v>11</v>
      </c>
      <c r="G92" s="25" t="s">
        <v>12</v>
      </c>
      <c r="H92" s="26" t="s">
        <v>13</v>
      </c>
      <c r="I92" s="1"/>
      <c r="J92" s="27">
        <v>5.0</v>
      </c>
      <c r="K92" s="28">
        <v>83539.21</v>
      </c>
      <c r="L92" s="29">
        <v>16707.842</v>
      </c>
    </row>
    <row r="93" ht="15.75" customHeight="1">
      <c r="A93" s="1"/>
      <c r="B93" s="15" t="s">
        <v>297</v>
      </c>
      <c r="C93" s="15" t="s">
        <v>298</v>
      </c>
      <c r="D93" s="23" t="s">
        <v>299</v>
      </c>
      <c r="E93" s="1"/>
      <c r="F93" s="24" t="s">
        <v>11</v>
      </c>
      <c r="G93" s="25" t="s">
        <v>12</v>
      </c>
      <c r="H93" s="26" t="s">
        <v>13</v>
      </c>
      <c r="I93" s="1"/>
      <c r="J93" s="27">
        <v>2.0</v>
      </c>
      <c r="K93" s="28">
        <v>19586.87</v>
      </c>
      <c r="L93" s="29">
        <v>9793.435</v>
      </c>
    </row>
    <row r="94" ht="15.75" customHeight="1">
      <c r="A94" s="1"/>
      <c r="B94" s="15" t="s">
        <v>300</v>
      </c>
      <c r="C94" s="15" t="s">
        <v>301</v>
      </c>
      <c r="D94" s="23" t="s">
        <v>302</v>
      </c>
      <c r="E94" s="1"/>
      <c r="F94" s="24" t="s">
        <v>11</v>
      </c>
      <c r="G94" s="25" t="s">
        <v>12</v>
      </c>
      <c r="H94" s="26" t="s">
        <v>13</v>
      </c>
      <c r="I94" s="1"/>
      <c r="J94" s="27">
        <v>2.0</v>
      </c>
      <c r="K94" s="28">
        <v>11137.32</v>
      </c>
      <c r="L94" s="29">
        <v>5568.66</v>
      </c>
    </row>
    <row r="95" ht="15.75" customHeight="1">
      <c r="A95" s="1"/>
      <c r="B95" s="15" t="s">
        <v>303</v>
      </c>
      <c r="C95" s="15" t="s">
        <v>304</v>
      </c>
      <c r="D95" s="23" t="s">
        <v>305</v>
      </c>
      <c r="E95" s="1"/>
      <c r="F95" s="24" t="s">
        <v>11</v>
      </c>
      <c r="G95" s="25" t="s">
        <v>12</v>
      </c>
      <c r="H95" s="26" t="s">
        <v>13</v>
      </c>
      <c r="I95" s="1"/>
      <c r="J95" s="27">
        <v>10.0</v>
      </c>
      <c r="K95" s="28">
        <v>5731.69</v>
      </c>
      <c r="L95" s="29">
        <v>573.169</v>
      </c>
    </row>
    <row r="96" ht="15.75" customHeight="1">
      <c r="A96" s="1"/>
      <c r="B96" s="15" t="s">
        <v>306</v>
      </c>
      <c r="C96" s="15" t="s">
        <v>307</v>
      </c>
      <c r="D96" s="23" t="s">
        <v>308</v>
      </c>
      <c r="E96" s="1"/>
      <c r="F96" s="24" t="s">
        <v>11</v>
      </c>
      <c r="G96" s="25" t="s">
        <v>12</v>
      </c>
      <c r="H96" s="26" t="s">
        <v>13</v>
      </c>
      <c r="I96" s="1"/>
      <c r="J96" s="27">
        <v>10.0</v>
      </c>
      <c r="K96" s="28">
        <v>4106.47</v>
      </c>
      <c r="L96" s="29">
        <v>410.64700000000005</v>
      </c>
    </row>
    <row r="97" ht="15.75" customHeight="1">
      <c r="A97" s="1"/>
      <c r="B97" s="15" t="s">
        <v>309</v>
      </c>
      <c r="C97" s="15" t="s">
        <v>310</v>
      </c>
      <c r="D97" s="23" t="s">
        <v>311</v>
      </c>
      <c r="E97" s="1"/>
      <c r="F97" s="24" t="s">
        <v>11</v>
      </c>
      <c r="G97" s="25" t="s">
        <v>12</v>
      </c>
      <c r="H97" s="26" t="s">
        <v>13</v>
      </c>
      <c r="I97" s="1"/>
      <c r="J97" s="27">
        <v>1.0</v>
      </c>
      <c r="K97" s="28">
        <v>12138.15</v>
      </c>
      <c r="L97" s="29">
        <v>12138.15</v>
      </c>
    </row>
    <row r="98" ht="15.75" customHeight="1">
      <c r="A98" s="1"/>
      <c r="B98" s="15" t="s">
        <v>312</v>
      </c>
      <c r="C98" s="15" t="s">
        <v>313</v>
      </c>
      <c r="D98" s="23" t="s">
        <v>314</v>
      </c>
      <c r="E98" s="1"/>
      <c r="F98" s="24" t="s">
        <v>11</v>
      </c>
      <c r="G98" s="25" t="s">
        <v>12</v>
      </c>
      <c r="H98" s="26" t="s">
        <v>13</v>
      </c>
      <c r="I98" s="1"/>
      <c r="J98" s="27">
        <v>10.0</v>
      </c>
      <c r="K98" s="28">
        <v>13710.93</v>
      </c>
      <c r="L98" s="29">
        <v>1371.093</v>
      </c>
    </row>
    <row r="99" ht="15.75" customHeight="1">
      <c r="A99" s="1"/>
      <c r="B99" s="15" t="s">
        <v>315</v>
      </c>
      <c r="C99" s="15" t="s">
        <v>316</v>
      </c>
      <c r="D99" s="23" t="s">
        <v>317</v>
      </c>
      <c r="E99" s="1"/>
      <c r="F99" s="24" t="s">
        <v>11</v>
      </c>
      <c r="G99" s="25" t="s">
        <v>12</v>
      </c>
      <c r="H99" s="26" t="s">
        <v>13</v>
      </c>
      <c r="I99" s="1"/>
      <c r="J99" s="27">
        <v>10.0</v>
      </c>
      <c r="K99" s="28">
        <v>9309.16</v>
      </c>
      <c r="L99" s="29">
        <v>930.9159999999999</v>
      </c>
    </row>
    <row r="100" ht="15.75" customHeight="1">
      <c r="A100" s="1"/>
      <c r="B100" s="15" t="s">
        <v>318</v>
      </c>
      <c r="C100" s="15" t="s">
        <v>319</v>
      </c>
      <c r="D100" s="23" t="s">
        <v>320</v>
      </c>
      <c r="E100" s="1"/>
      <c r="F100" s="24" t="s">
        <v>11</v>
      </c>
      <c r="G100" s="25" t="s">
        <v>12</v>
      </c>
      <c r="H100" s="26" t="s">
        <v>13</v>
      </c>
      <c r="I100" s="1"/>
      <c r="J100" s="27">
        <v>5.0</v>
      </c>
      <c r="K100" s="28">
        <v>2923.8</v>
      </c>
      <c r="L100" s="29">
        <v>584.76</v>
      </c>
    </row>
    <row r="101" ht="15.75" customHeight="1">
      <c r="A101" s="1"/>
      <c r="B101" s="15" t="s">
        <v>321</v>
      </c>
      <c r="C101" s="15" t="s">
        <v>322</v>
      </c>
      <c r="D101" s="23" t="s">
        <v>323</v>
      </c>
      <c r="E101" s="1"/>
      <c r="F101" s="24" t="s">
        <v>11</v>
      </c>
      <c r="G101" s="25" t="s">
        <v>12</v>
      </c>
      <c r="H101" s="26" t="s">
        <v>13</v>
      </c>
      <c r="I101" s="1"/>
      <c r="J101" s="27">
        <v>1.0</v>
      </c>
      <c r="K101" s="28">
        <v>1609.56</v>
      </c>
      <c r="L101" s="29">
        <v>1609.56</v>
      </c>
    </row>
    <row r="102" ht="15.75" customHeight="1">
      <c r="A102" s="1"/>
      <c r="B102" s="15" t="s">
        <v>324</v>
      </c>
      <c r="C102" s="15" t="s">
        <v>325</v>
      </c>
      <c r="D102" s="23" t="s">
        <v>326</v>
      </c>
      <c r="E102" s="1"/>
      <c r="F102" s="24" t="s">
        <v>11</v>
      </c>
      <c r="G102" s="25" t="s">
        <v>12</v>
      </c>
      <c r="H102" s="26" t="s">
        <v>13</v>
      </c>
      <c r="I102" s="1"/>
      <c r="J102" s="27">
        <v>2.0</v>
      </c>
      <c r="K102" s="28">
        <v>1750.94</v>
      </c>
      <c r="L102" s="29">
        <v>875.47</v>
      </c>
    </row>
    <row r="103" ht="15.75" customHeight="1">
      <c r="A103" s="1"/>
      <c r="B103" s="15" t="s">
        <v>327</v>
      </c>
      <c r="C103" s="15" t="s">
        <v>328</v>
      </c>
      <c r="D103" s="23" t="s">
        <v>329</v>
      </c>
      <c r="E103" s="1"/>
      <c r="F103" s="24" t="s">
        <v>11</v>
      </c>
      <c r="G103" s="25" t="s">
        <v>12</v>
      </c>
      <c r="H103" s="26" t="s">
        <v>13</v>
      </c>
      <c r="I103" s="1"/>
      <c r="J103" s="27">
        <v>10.0</v>
      </c>
      <c r="K103" s="28">
        <v>57470.34</v>
      </c>
      <c r="L103" s="29">
        <v>5747.034</v>
      </c>
    </row>
    <row r="104" ht="15.75" customHeight="1">
      <c r="A104" s="1"/>
      <c r="B104" s="15" t="s">
        <v>330</v>
      </c>
      <c r="C104" s="15" t="s">
        <v>331</v>
      </c>
      <c r="D104" s="23" t="s">
        <v>332</v>
      </c>
      <c r="E104" s="1"/>
      <c r="F104" s="24" t="s">
        <v>11</v>
      </c>
      <c r="G104" s="25" t="s">
        <v>12</v>
      </c>
      <c r="H104" s="26" t="s">
        <v>13</v>
      </c>
      <c r="I104" s="1"/>
      <c r="J104" s="27">
        <v>10.0</v>
      </c>
      <c r="K104" s="28">
        <v>3241.29</v>
      </c>
      <c r="L104" s="29">
        <v>324.129</v>
      </c>
    </row>
    <row r="105" ht="15.75" customHeight="1">
      <c r="A105" s="1"/>
      <c r="B105" s="15" t="s">
        <v>333</v>
      </c>
      <c r="C105" s="15" t="s">
        <v>334</v>
      </c>
      <c r="D105" s="23" t="s">
        <v>335</v>
      </c>
      <c r="E105" s="1"/>
      <c r="F105" s="24" t="s">
        <v>11</v>
      </c>
      <c r="G105" s="25" t="s">
        <v>12</v>
      </c>
      <c r="H105" s="26" t="s">
        <v>13</v>
      </c>
      <c r="I105" s="1"/>
      <c r="J105" s="27">
        <v>1.0</v>
      </c>
      <c r="K105" s="28">
        <v>7673.0</v>
      </c>
      <c r="L105" s="29">
        <v>7673.0</v>
      </c>
    </row>
    <row r="106" ht="15.75" customHeight="1">
      <c r="A106" s="1"/>
      <c r="B106" s="15" t="s">
        <v>336</v>
      </c>
      <c r="C106" s="15" t="s">
        <v>337</v>
      </c>
      <c r="D106" s="23" t="s">
        <v>338</v>
      </c>
      <c r="E106" s="1"/>
      <c r="F106" s="24" t="s">
        <v>11</v>
      </c>
      <c r="G106" s="25" t="s">
        <v>12</v>
      </c>
      <c r="H106" s="26" t="s">
        <v>13</v>
      </c>
      <c r="I106" s="1"/>
      <c r="J106" s="27">
        <v>10.0</v>
      </c>
      <c r="K106" s="28">
        <v>39392.71</v>
      </c>
      <c r="L106" s="29">
        <v>3939.2709999999997</v>
      </c>
    </row>
    <row r="107" ht="15.75" customHeight="1">
      <c r="A107" s="1"/>
      <c r="B107" s="15" t="s">
        <v>339</v>
      </c>
      <c r="C107" s="15" t="s">
        <v>340</v>
      </c>
      <c r="D107" s="23" t="s">
        <v>341</v>
      </c>
      <c r="E107" s="1"/>
      <c r="F107" s="24" t="s">
        <v>11</v>
      </c>
      <c r="G107" s="25" t="s">
        <v>12</v>
      </c>
      <c r="H107" s="26" t="s">
        <v>13</v>
      </c>
      <c r="I107" s="1"/>
      <c r="J107" s="27">
        <v>10.0</v>
      </c>
      <c r="K107" s="28">
        <v>3418.8</v>
      </c>
      <c r="L107" s="29">
        <v>341.88</v>
      </c>
    </row>
    <row r="108" ht="15.75" customHeight="1">
      <c r="A108" s="1"/>
      <c r="B108" s="15" t="s">
        <v>342</v>
      </c>
      <c r="C108" s="15" t="s">
        <v>343</v>
      </c>
      <c r="D108" s="23" t="s">
        <v>344</v>
      </c>
      <c r="E108" s="1"/>
      <c r="F108" s="24" t="s">
        <v>11</v>
      </c>
      <c r="G108" s="25" t="s">
        <v>12</v>
      </c>
      <c r="H108" s="26" t="s">
        <v>13</v>
      </c>
      <c r="I108" s="1"/>
      <c r="J108" s="27">
        <v>5.0</v>
      </c>
      <c r="K108" s="28">
        <v>22455.17</v>
      </c>
      <c r="L108" s="29">
        <v>4491.034</v>
      </c>
    </row>
    <row r="109" ht="15.75" customHeight="1">
      <c r="A109" s="1"/>
      <c r="B109" s="15" t="s">
        <v>345</v>
      </c>
      <c r="C109" s="15" t="s">
        <v>346</v>
      </c>
      <c r="D109" s="23" t="s">
        <v>347</v>
      </c>
      <c r="E109" s="1"/>
      <c r="F109" s="24" t="s">
        <v>11</v>
      </c>
      <c r="G109" s="25" t="s">
        <v>12</v>
      </c>
      <c r="H109" s="26" t="s">
        <v>13</v>
      </c>
      <c r="I109" s="1"/>
      <c r="J109" s="27">
        <v>10.0</v>
      </c>
      <c r="K109" s="28">
        <v>12829.08</v>
      </c>
      <c r="L109" s="29">
        <v>1282.908</v>
      </c>
    </row>
    <row r="110" ht="15.75" customHeight="1">
      <c r="A110" s="1"/>
      <c r="B110" s="15" t="s">
        <v>348</v>
      </c>
      <c r="C110" s="15" t="s">
        <v>349</v>
      </c>
      <c r="D110" s="23" t="s">
        <v>350</v>
      </c>
      <c r="E110" s="1"/>
      <c r="F110" s="24" t="s">
        <v>11</v>
      </c>
      <c r="G110" s="25" t="s">
        <v>12</v>
      </c>
      <c r="H110" s="26" t="s">
        <v>13</v>
      </c>
      <c r="I110" s="1"/>
      <c r="J110" s="27">
        <v>10.0</v>
      </c>
      <c r="K110" s="28">
        <v>19653.75</v>
      </c>
      <c r="L110" s="29">
        <v>1965.375</v>
      </c>
    </row>
    <row r="111" ht="15.75" customHeight="1">
      <c r="A111" s="1"/>
      <c r="B111" s="15" t="s">
        <v>351</v>
      </c>
      <c r="C111" s="15" t="s">
        <v>352</v>
      </c>
      <c r="D111" s="23" t="s">
        <v>353</v>
      </c>
      <c r="E111" s="1"/>
      <c r="F111" s="24" t="s">
        <v>11</v>
      </c>
      <c r="G111" s="25" t="s">
        <v>12</v>
      </c>
      <c r="H111" s="26" t="s">
        <v>13</v>
      </c>
      <c r="I111" s="1"/>
      <c r="J111" s="27">
        <v>10.0</v>
      </c>
      <c r="K111" s="28">
        <v>14776.01</v>
      </c>
      <c r="L111" s="29">
        <v>1477.601</v>
      </c>
    </row>
    <row r="112" ht="15.75" customHeight="1">
      <c r="A112" s="1"/>
      <c r="B112" s="15" t="s">
        <v>354</v>
      </c>
      <c r="C112" s="15" t="s">
        <v>355</v>
      </c>
      <c r="D112" s="23" t="s">
        <v>356</v>
      </c>
      <c r="E112" s="1"/>
      <c r="F112" s="24" t="s">
        <v>11</v>
      </c>
      <c r="G112" s="25" t="s">
        <v>12</v>
      </c>
      <c r="H112" s="26" t="s">
        <v>13</v>
      </c>
      <c r="I112" s="1"/>
      <c r="J112" s="27">
        <v>1.0</v>
      </c>
      <c r="K112" s="28">
        <v>23403.97</v>
      </c>
      <c r="L112" s="29">
        <v>23403.97</v>
      </c>
    </row>
    <row r="113" ht="15.75" customHeight="1">
      <c r="A113" s="1"/>
      <c r="B113" s="15" t="s">
        <v>357</v>
      </c>
      <c r="C113" s="15" t="s">
        <v>358</v>
      </c>
      <c r="D113" s="23" t="s">
        <v>359</v>
      </c>
      <c r="E113" s="1"/>
      <c r="F113" s="24" t="s">
        <v>11</v>
      </c>
      <c r="G113" s="25" t="s">
        <v>12</v>
      </c>
      <c r="H113" s="26" t="s">
        <v>13</v>
      </c>
      <c r="I113" s="1"/>
      <c r="J113" s="27">
        <v>10.0</v>
      </c>
      <c r="K113" s="28">
        <v>43753.09</v>
      </c>
      <c r="L113" s="29">
        <v>4375.308999999999</v>
      </c>
    </row>
    <row r="114" ht="15.75" customHeight="1">
      <c r="A114" s="1"/>
      <c r="B114" s="15" t="s">
        <v>360</v>
      </c>
      <c r="C114" s="15" t="s">
        <v>361</v>
      </c>
      <c r="D114" s="23" t="s">
        <v>362</v>
      </c>
      <c r="E114" s="1"/>
      <c r="F114" s="24" t="s">
        <v>11</v>
      </c>
      <c r="G114" s="25" t="s">
        <v>12</v>
      </c>
      <c r="H114" s="26" t="s">
        <v>13</v>
      </c>
      <c r="I114" s="1"/>
      <c r="J114" s="27">
        <v>10.0</v>
      </c>
      <c r="K114" s="28">
        <v>7035.65</v>
      </c>
      <c r="L114" s="29">
        <v>703.5649999999999</v>
      </c>
    </row>
    <row r="115" ht="15.75" customHeight="1">
      <c r="A115" s="1"/>
      <c r="B115" s="15" t="s">
        <v>363</v>
      </c>
      <c r="C115" s="15" t="s">
        <v>364</v>
      </c>
      <c r="D115" s="23" t="s">
        <v>365</v>
      </c>
      <c r="E115" s="1"/>
      <c r="F115" s="24" t="s">
        <v>11</v>
      </c>
      <c r="G115" s="25" t="s">
        <v>12</v>
      </c>
      <c r="H115" s="26" t="s">
        <v>13</v>
      </c>
      <c r="I115" s="1"/>
      <c r="J115" s="27">
        <v>1.0</v>
      </c>
      <c r="K115" s="28">
        <v>10616.08</v>
      </c>
      <c r="L115" s="29">
        <v>10616.08</v>
      </c>
    </row>
    <row r="116" ht="15.75" customHeight="1">
      <c r="A116" s="1"/>
      <c r="B116" s="15" t="s">
        <v>366</v>
      </c>
      <c r="C116" s="15" t="s">
        <v>367</v>
      </c>
      <c r="D116" s="23" t="s">
        <v>368</v>
      </c>
      <c r="E116" s="1"/>
      <c r="F116" s="24" t="s">
        <v>11</v>
      </c>
      <c r="G116" s="25" t="s">
        <v>12</v>
      </c>
      <c r="H116" s="26" t="s">
        <v>13</v>
      </c>
      <c r="I116" s="1"/>
      <c r="J116" s="27">
        <v>10.0</v>
      </c>
      <c r="K116" s="28">
        <v>12043.54</v>
      </c>
      <c r="L116" s="29">
        <v>1204.354</v>
      </c>
    </row>
    <row r="117" ht="15.75" customHeight="1">
      <c r="A117" s="1"/>
      <c r="B117" s="15" t="s">
        <v>369</v>
      </c>
      <c r="C117" s="15" t="s">
        <v>370</v>
      </c>
      <c r="D117" s="23" t="s">
        <v>371</v>
      </c>
      <c r="E117" s="1"/>
      <c r="F117" s="24" t="s">
        <v>11</v>
      </c>
      <c r="G117" s="25" t="s">
        <v>12</v>
      </c>
      <c r="H117" s="26" t="s">
        <v>13</v>
      </c>
      <c r="I117" s="1"/>
      <c r="J117" s="27">
        <v>10.0</v>
      </c>
      <c r="K117" s="28" t="s">
        <v>372</v>
      </c>
      <c r="L117" s="29">
        <v>34989.422</v>
      </c>
    </row>
    <row r="118" ht="15.75" customHeight="1">
      <c r="A118" s="1"/>
      <c r="B118" s="15" t="s">
        <v>373</v>
      </c>
      <c r="C118" s="15" t="s">
        <v>374</v>
      </c>
      <c r="D118" s="23" t="s">
        <v>375</v>
      </c>
      <c r="E118" s="1"/>
      <c r="F118" s="24" t="s">
        <v>11</v>
      </c>
      <c r="G118" s="25" t="s">
        <v>12</v>
      </c>
      <c r="H118" s="26" t="s">
        <v>13</v>
      </c>
      <c r="I118" s="1"/>
      <c r="J118" s="27">
        <v>10.0</v>
      </c>
      <c r="K118" s="28">
        <v>3980.79</v>
      </c>
      <c r="L118" s="29">
        <v>398.079</v>
      </c>
    </row>
    <row r="119" ht="15.75" customHeight="1">
      <c r="A119" s="1"/>
      <c r="B119" s="15" t="s">
        <v>376</v>
      </c>
      <c r="C119" s="15" t="s">
        <v>377</v>
      </c>
      <c r="D119" s="23" t="s">
        <v>378</v>
      </c>
      <c r="E119" s="1"/>
      <c r="F119" s="24" t="s">
        <v>11</v>
      </c>
      <c r="G119" s="25" t="s">
        <v>12</v>
      </c>
      <c r="H119" s="26" t="s">
        <v>13</v>
      </c>
      <c r="I119" s="1"/>
      <c r="J119" s="27">
        <v>10.0</v>
      </c>
      <c r="K119" s="28">
        <v>31325.69</v>
      </c>
      <c r="L119" s="29">
        <v>3132.569</v>
      </c>
    </row>
    <row r="120" ht="15.75" customHeight="1">
      <c r="A120" s="1"/>
      <c r="B120" s="15" t="s">
        <v>379</v>
      </c>
      <c r="C120" s="15" t="s">
        <v>380</v>
      </c>
      <c r="D120" s="23" t="s">
        <v>381</v>
      </c>
      <c r="E120" s="1"/>
      <c r="F120" s="24" t="s">
        <v>11</v>
      </c>
      <c r="G120" s="25" t="s">
        <v>12</v>
      </c>
      <c r="H120" s="26" t="s">
        <v>13</v>
      </c>
      <c r="I120" s="1"/>
      <c r="J120" s="27">
        <v>2.0</v>
      </c>
      <c r="K120" s="28">
        <v>11987.01</v>
      </c>
      <c r="L120" s="29">
        <v>5993.505</v>
      </c>
    </row>
    <row r="121" ht="15.75" customHeight="1">
      <c r="A121" s="1"/>
      <c r="B121" s="15" t="s">
        <v>382</v>
      </c>
      <c r="C121" s="15" t="s">
        <v>383</v>
      </c>
      <c r="D121" s="23" t="s">
        <v>384</v>
      </c>
      <c r="E121" s="1"/>
      <c r="F121" s="24" t="s">
        <v>11</v>
      </c>
      <c r="G121" s="25" t="s">
        <v>12</v>
      </c>
      <c r="H121" s="26" t="s">
        <v>13</v>
      </c>
      <c r="I121" s="1"/>
      <c r="J121" s="27">
        <v>10.0</v>
      </c>
      <c r="K121" s="28">
        <v>11381.41</v>
      </c>
      <c r="L121" s="29">
        <v>1138.141</v>
      </c>
    </row>
    <row r="122" ht="15.75" customHeight="1">
      <c r="A122" s="1"/>
      <c r="B122" s="15" t="s">
        <v>385</v>
      </c>
      <c r="C122" s="15" t="s">
        <v>386</v>
      </c>
      <c r="D122" s="23" t="s">
        <v>387</v>
      </c>
      <c r="E122" s="1"/>
      <c r="F122" s="24" t="s">
        <v>11</v>
      </c>
      <c r="G122" s="25" t="s">
        <v>12</v>
      </c>
      <c r="H122" s="26" t="s">
        <v>13</v>
      </c>
      <c r="I122" s="1"/>
      <c r="J122" s="27">
        <v>10.0</v>
      </c>
      <c r="K122" s="28">
        <v>21439.13</v>
      </c>
      <c r="L122" s="29">
        <v>2143.913</v>
      </c>
    </row>
    <row r="123" ht="15.75" customHeight="1">
      <c r="A123" s="1"/>
      <c r="B123" s="15" t="s">
        <v>388</v>
      </c>
      <c r="C123" s="15" t="s">
        <v>389</v>
      </c>
      <c r="D123" s="23" t="s">
        <v>390</v>
      </c>
      <c r="E123" s="1"/>
      <c r="F123" s="24" t="s">
        <v>11</v>
      </c>
      <c r="G123" s="25" t="s">
        <v>12</v>
      </c>
      <c r="H123" s="26" t="s">
        <v>13</v>
      </c>
      <c r="I123" s="1"/>
      <c r="J123" s="27">
        <v>1.0</v>
      </c>
      <c r="K123" s="28">
        <v>40456.39</v>
      </c>
      <c r="L123" s="29">
        <v>40456.39</v>
      </c>
    </row>
    <row r="124" ht="15.75" customHeight="1">
      <c r="A124" s="1"/>
      <c r="B124" s="15" t="s">
        <v>391</v>
      </c>
      <c r="C124" s="15" t="s">
        <v>392</v>
      </c>
      <c r="D124" s="23" t="s">
        <v>393</v>
      </c>
      <c r="E124" s="1"/>
      <c r="F124" s="24" t="s">
        <v>11</v>
      </c>
      <c r="G124" s="25" t="s">
        <v>12</v>
      </c>
      <c r="H124" s="26" t="s">
        <v>13</v>
      </c>
      <c r="I124" s="1"/>
      <c r="J124" s="27">
        <v>5.0</v>
      </c>
      <c r="K124" s="28">
        <v>4551.68</v>
      </c>
      <c r="L124" s="29">
        <v>910.336</v>
      </c>
    </row>
    <row r="125" ht="15.75" customHeight="1">
      <c r="A125" s="1"/>
      <c r="B125" s="15" t="s">
        <v>394</v>
      </c>
      <c r="C125" s="15" t="s">
        <v>395</v>
      </c>
      <c r="D125" s="23" t="s">
        <v>396</v>
      </c>
      <c r="E125" s="1"/>
      <c r="F125" s="24" t="s">
        <v>11</v>
      </c>
      <c r="G125" s="25" t="s">
        <v>12</v>
      </c>
      <c r="H125" s="26" t="s">
        <v>13</v>
      </c>
      <c r="I125" s="1"/>
      <c r="J125" s="27">
        <v>10.0</v>
      </c>
      <c r="K125" s="28">
        <v>13077.29</v>
      </c>
      <c r="L125" s="29">
        <v>1307.729</v>
      </c>
    </row>
    <row r="126" ht="15.75" customHeight="1">
      <c r="A126" s="1"/>
      <c r="B126" s="15" t="s">
        <v>397</v>
      </c>
      <c r="C126" s="15" t="s">
        <v>398</v>
      </c>
      <c r="D126" s="23" t="s">
        <v>399</v>
      </c>
      <c r="E126" s="1"/>
      <c r="F126" s="24" t="s">
        <v>11</v>
      </c>
      <c r="G126" s="25" t="s">
        <v>12</v>
      </c>
      <c r="H126" s="26" t="s">
        <v>13</v>
      </c>
      <c r="I126" s="1"/>
      <c r="J126" s="27">
        <v>1.0</v>
      </c>
      <c r="K126" s="28">
        <v>15230.99</v>
      </c>
      <c r="L126" s="29">
        <v>15230.99</v>
      </c>
    </row>
    <row r="127" ht="15.75" customHeight="1">
      <c r="A127" s="1"/>
      <c r="B127" s="15" t="s">
        <v>400</v>
      </c>
      <c r="C127" s="15" t="s">
        <v>401</v>
      </c>
      <c r="D127" s="23" t="s">
        <v>402</v>
      </c>
      <c r="E127" s="1"/>
      <c r="F127" s="24" t="s">
        <v>11</v>
      </c>
      <c r="G127" s="25" t="s">
        <v>12</v>
      </c>
      <c r="H127" s="26" t="s">
        <v>13</v>
      </c>
      <c r="I127" s="1"/>
      <c r="J127" s="27">
        <v>2.0</v>
      </c>
      <c r="K127" s="28">
        <v>13069.76</v>
      </c>
      <c r="L127" s="29">
        <v>6534.88</v>
      </c>
    </row>
    <row r="128" ht="15.75" customHeight="1">
      <c r="A128" s="1"/>
      <c r="B128" s="15" t="s">
        <v>403</v>
      </c>
      <c r="C128" s="15" t="s">
        <v>404</v>
      </c>
      <c r="D128" s="23" t="s">
        <v>402</v>
      </c>
      <c r="E128" s="1"/>
      <c r="F128" s="24" t="s">
        <v>11</v>
      </c>
      <c r="G128" s="25" t="s">
        <v>12</v>
      </c>
      <c r="H128" s="26" t="s">
        <v>13</v>
      </c>
      <c r="I128" s="1"/>
      <c r="J128" s="27">
        <v>2.0</v>
      </c>
      <c r="K128" s="28">
        <v>1655.18</v>
      </c>
      <c r="L128" s="29">
        <v>827.59</v>
      </c>
    </row>
    <row r="129" ht="15.75" customHeight="1">
      <c r="A129" s="1"/>
      <c r="B129" s="15" t="s">
        <v>405</v>
      </c>
      <c r="C129" s="15" t="s">
        <v>406</v>
      </c>
      <c r="D129" s="23" t="s">
        <v>407</v>
      </c>
      <c r="E129" s="1"/>
      <c r="F129" s="24" t="s">
        <v>11</v>
      </c>
      <c r="G129" s="25" t="s">
        <v>12</v>
      </c>
      <c r="H129" s="26" t="s">
        <v>13</v>
      </c>
      <c r="I129" s="1"/>
      <c r="J129" s="27">
        <v>1.0</v>
      </c>
      <c r="K129" s="28">
        <v>8949.55</v>
      </c>
      <c r="L129" s="29">
        <v>8949.55</v>
      </c>
    </row>
    <row r="130" ht="15.75" customHeight="1">
      <c r="A130" s="1"/>
      <c r="B130" s="15" t="s">
        <v>408</v>
      </c>
      <c r="C130" s="15" t="s">
        <v>409</v>
      </c>
      <c r="D130" s="23" t="s">
        <v>410</v>
      </c>
      <c r="E130" s="1"/>
      <c r="F130" s="24" t="s">
        <v>11</v>
      </c>
      <c r="G130" s="25" t="s">
        <v>12</v>
      </c>
      <c r="H130" s="26" t="s">
        <v>13</v>
      </c>
      <c r="I130" s="1"/>
      <c r="J130" s="27">
        <v>10.0</v>
      </c>
      <c r="K130" s="28">
        <v>31797.53</v>
      </c>
      <c r="L130" s="29">
        <v>3179.7529999999997</v>
      </c>
    </row>
    <row r="131" ht="15.75" customHeight="1">
      <c r="A131" s="1"/>
      <c r="B131" s="15" t="s">
        <v>411</v>
      </c>
      <c r="C131" s="15" t="s">
        <v>412</v>
      </c>
      <c r="D131" s="23" t="s">
        <v>413</v>
      </c>
      <c r="E131" s="1"/>
      <c r="F131" s="24" t="s">
        <v>11</v>
      </c>
      <c r="G131" s="25" t="s">
        <v>12</v>
      </c>
      <c r="H131" s="26" t="s">
        <v>13</v>
      </c>
      <c r="I131" s="1"/>
      <c r="J131" s="27">
        <v>1.0</v>
      </c>
      <c r="K131" s="28" t="s">
        <v>414</v>
      </c>
      <c r="L131" s="29">
        <v>226539.72</v>
      </c>
    </row>
    <row r="132" ht="15.75" customHeight="1">
      <c r="A132" s="1"/>
      <c r="B132" s="15" t="s">
        <v>415</v>
      </c>
      <c r="C132" s="15" t="s">
        <v>416</v>
      </c>
      <c r="D132" s="23" t="s">
        <v>417</v>
      </c>
      <c r="E132" s="1"/>
      <c r="F132" s="24" t="s">
        <v>11</v>
      </c>
      <c r="G132" s="25" t="s">
        <v>12</v>
      </c>
      <c r="H132" s="26" t="s">
        <v>13</v>
      </c>
      <c r="I132" s="1"/>
      <c r="J132" s="27">
        <v>5.0</v>
      </c>
      <c r="K132" s="28">
        <v>50780.89</v>
      </c>
      <c r="L132" s="29">
        <v>10156.178</v>
      </c>
    </row>
    <row r="133" ht="15.75" customHeight="1">
      <c r="A133" s="1"/>
      <c r="B133" s="15" t="s">
        <v>418</v>
      </c>
      <c r="C133" s="15" t="s">
        <v>419</v>
      </c>
      <c r="D133" s="23" t="s">
        <v>420</v>
      </c>
      <c r="E133" s="1"/>
      <c r="F133" s="24" t="s">
        <v>11</v>
      </c>
      <c r="G133" s="25" t="s">
        <v>12</v>
      </c>
      <c r="H133" s="26" t="s">
        <v>13</v>
      </c>
      <c r="I133" s="1"/>
      <c r="J133" s="27">
        <v>1.0</v>
      </c>
      <c r="K133" s="28">
        <v>52578.87</v>
      </c>
      <c r="L133" s="29">
        <v>52578.87</v>
      </c>
    </row>
    <row r="134" ht="15.75" customHeight="1">
      <c r="A134" s="1"/>
      <c r="B134" s="15" t="s">
        <v>421</v>
      </c>
      <c r="C134" s="15" t="s">
        <v>422</v>
      </c>
      <c r="D134" s="23" t="s">
        <v>423</v>
      </c>
      <c r="E134" s="1"/>
      <c r="F134" s="24" t="s">
        <v>11</v>
      </c>
      <c r="G134" s="25" t="s">
        <v>12</v>
      </c>
      <c r="H134" s="26" t="s">
        <v>13</v>
      </c>
      <c r="I134" s="1"/>
      <c r="J134" s="27">
        <v>5.0</v>
      </c>
      <c r="K134" s="28">
        <v>10840.33</v>
      </c>
      <c r="L134" s="29">
        <v>2168.066</v>
      </c>
    </row>
    <row r="135" ht="15.75" customHeight="1">
      <c r="A135" s="1"/>
      <c r="B135" s="15" t="s">
        <v>424</v>
      </c>
      <c r="C135" s="15" t="s">
        <v>425</v>
      </c>
      <c r="D135" s="23" t="s">
        <v>426</v>
      </c>
      <c r="E135" s="1"/>
      <c r="F135" s="24" t="s">
        <v>11</v>
      </c>
      <c r="G135" s="25" t="s">
        <v>12</v>
      </c>
      <c r="H135" s="26" t="s">
        <v>13</v>
      </c>
      <c r="I135" s="1"/>
      <c r="J135" s="27">
        <v>10.0</v>
      </c>
      <c r="K135" s="28">
        <v>5218.9</v>
      </c>
      <c r="L135" s="29">
        <v>521.89</v>
      </c>
    </row>
    <row r="136" ht="15.75" customHeight="1">
      <c r="A136" s="1"/>
      <c r="B136" s="15" t="s">
        <v>427</v>
      </c>
      <c r="C136" s="15" t="s">
        <v>428</v>
      </c>
      <c r="D136" s="23" t="s">
        <v>429</v>
      </c>
      <c r="E136" s="1"/>
      <c r="F136" s="24" t="s">
        <v>11</v>
      </c>
      <c r="G136" s="25" t="s">
        <v>12</v>
      </c>
      <c r="H136" s="26" t="s">
        <v>13</v>
      </c>
      <c r="I136" s="1"/>
      <c r="J136" s="27">
        <v>1.0</v>
      </c>
      <c r="K136" s="28">
        <v>8960.05</v>
      </c>
      <c r="L136" s="29">
        <v>8960.05</v>
      </c>
    </row>
    <row r="137" ht="15.75" customHeight="1">
      <c r="A137" s="1"/>
      <c r="B137" s="15" t="s">
        <v>430</v>
      </c>
      <c r="C137" s="15" t="s">
        <v>431</v>
      </c>
      <c r="D137" s="23" t="s">
        <v>432</v>
      </c>
      <c r="E137" s="1"/>
      <c r="F137" s="24" t="s">
        <v>11</v>
      </c>
      <c r="G137" s="25" t="s">
        <v>12</v>
      </c>
      <c r="H137" s="26" t="s">
        <v>13</v>
      </c>
      <c r="I137" s="1"/>
      <c r="J137" s="27">
        <v>1.0</v>
      </c>
      <c r="K137" s="28">
        <v>13778.55</v>
      </c>
      <c r="L137" s="29">
        <v>13778.55</v>
      </c>
    </row>
    <row r="138" ht="15.75" customHeight="1">
      <c r="A138" s="1"/>
      <c r="B138" s="15" t="s">
        <v>433</v>
      </c>
      <c r="C138" s="15" t="s">
        <v>434</v>
      </c>
      <c r="D138" s="23" t="s">
        <v>435</v>
      </c>
      <c r="E138" s="1"/>
      <c r="F138" s="24" t="s">
        <v>11</v>
      </c>
      <c r="G138" s="25" t="s">
        <v>12</v>
      </c>
      <c r="H138" s="26" t="s">
        <v>13</v>
      </c>
      <c r="I138" s="1"/>
      <c r="J138" s="27"/>
      <c r="K138" s="28">
        <v>0.0</v>
      </c>
      <c r="L138" s="29"/>
    </row>
    <row r="139" ht="15.75" customHeight="1">
      <c r="A139" s="1"/>
      <c r="B139" s="15" t="s">
        <v>436</v>
      </c>
      <c r="C139" s="15" t="s">
        <v>437</v>
      </c>
      <c r="D139" s="23" t="s">
        <v>438</v>
      </c>
      <c r="E139" s="1"/>
      <c r="F139" s="24" t="s">
        <v>11</v>
      </c>
      <c r="G139" s="25" t="s">
        <v>12</v>
      </c>
      <c r="H139" s="26" t="s">
        <v>13</v>
      </c>
      <c r="I139" s="1"/>
      <c r="J139" s="27">
        <v>10.0</v>
      </c>
      <c r="K139" s="28">
        <v>1984.21</v>
      </c>
      <c r="L139" s="29">
        <v>198.421</v>
      </c>
    </row>
    <row r="140" ht="15.75" customHeight="1">
      <c r="A140" s="1"/>
      <c r="B140" s="15" t="s">
        <v>439</v>
      </c>
      <c r="C140" s="15" t="s">
        <v>440</v>
      </c>
      <c r="D140" s="23" t="s">
        <v>441</v>
      </c>
      <c r="E140" s="1"/>
      <c r="F140" s="24" t="s">
        <v>11</v>
      </c>
      <c r="G140" s="25" t="s">
        <v>12</v>
      </c>
      <c r="H140" s="26" t="s">
        <v>13</v>
      </c>
      <c r="I140" s="1"/>
      <c r="J140" s="27"/>
      <c r="K140" s="28">
        <v>0.0</v>
      </c>
      <c r="L140" s="29"/>
    </row>
    <row r="141" ht="15.75" customHeight="1">
      <c r="A141" s="1"/>
      <c r="B141" s="15" t="s">
        <v>442</v>
      </c>
      <c r="C141" s="15" t="s">
        <v>443</v>
      </c>
      <c r="D141" s="23" t="s">
        <v>444</v>
      </c>
      <c r="E141" s="1"/>
      <c r="F141" s="24" t="s">
        <v>11</v>
      </c>
      <c r="G141" s="25" t="s">
        <v>12</v>
      </c>
      <c r="H141" s="26" t="s">
        <v>13</v>
      </c>
      <c r="I141" s="1"/>
      <c r="J141" s="27"/>
      <c r="K141" s="28">
        <v>0.0</v>
      </c>
      <c r="L141" s="29"/>
    </row>
    <row r="142" ht="15.75" customHeight="1">
      <c r="A142" s="1"/>
      <c r="B142" s="15" t="s">
        <v>445</v>
      </c>
      <c r="C142" s="15" t="s">
        <v>446</v>
      </c>
      <c r="D142" s="16" t="s">
        <v>447</v>
      </c>
      <c r="E142" s="1"/>
      <c r="F142" s="17" t="s">
        <v>11</v>
      </c>
      <c r="G142" s="18" t="s">
        <v>12</v>
      </c>
      <c r="H142" s="19" t="s">
        <v>13</v>
      </c>
      <c r="I142" s="1"/>
      <c r="J142" s="20"/>
      <c r="K142" s="21">
        <v>0.0</v>
      </c>
      <c r="L142" s="22"/>
    </row>
    <row r="143" ht="15.75" customHeight="1">
      <c r="A143" s="1"/>
      <c r="B143" s="15" t="s">
        <v>448</v>
      </c>
      <c r="C143" s="15" t="s">
        <v>449</v>
      </c>
      <c r="D143" s="16" t="s">
        <v>450</v>
      </c>
      <c r="E143" s="1"/>
      <c r="F143" s="17" t="s">
        <v>11</v>
      </c>
      <c r="G143" s="18" t="s">
        <v>12</v>
      </c>
      <c r="H143" s="19" t="s">
        <v>13</v>
      </c>
      <c r="I143" s="1"/>
      <c r="J143" s="20">
        <v>2.0</v>
      </c>
      <c r="K143" s="21">
        <v>9408.18</v>
      </c>
      <c r="L143" s="22">
        <v>4704.09</v>
      </c>
    </row>
    <row r="144" ht="15.75" customHeight="1">
      <c r="A144" s="1"/>
      <c r="B144" s="15" t="s">
        <v>451</v>
      </c>
      <c r="C144" s="15" t="s">
        <v>452</v>
      </c>
      <c r="D144" s="30" t="s">
        <v>453</v>
      </c>
      <c r="E144" s="1"/>
      <c r="F144" s="31" t="s">
        <v>11</v>
      </c>
      <c r="G144" s="32" t="s">
        <v>12</v>
      </c>
      <c r="H144" s="33" t="s">
        <v>13</v>
      </c>
      <c r="I144" s="1"/>
      <c r="J144" s="34"/>
      <c r="K144" s="35"/>
      <c r="L144" s="36"/>
    </row>
    <row r="145" ht="15.75" customHeight="1">
      <c r="A145" s="1"/>
      <c r="B145" s="1"/>
      <c r="C145" s="1"/>
      <c r="D145" s="1"/>
      <c r="E145" s="1"/>
      <c r="F145" s="37"/>
      <c r="G145" s="37"/>
      <c r="H145" s="37"/>
      <c r="I145" s="1"/>
      <c r="J145" s="1"/>
      <c r="K145" s="1"/>
      <c r="L145" s="1"/>
    </row>
    <row r="146" ht="15.75" customHeight="1">
      <c r="A146" s="1"/>
      <c r="B146" s="38" t="s">
        <v>454</v>
      </c>
      <c r="C146" s="38" t="s">
        <v>455</v>
      </c>
      <c r="D146" s="39"/>
      <c r="E146" s="40"/>
      <c r="F146" s="41"/>
      <c r="G146" s="42"/>
      <c r="H146" s="43"/>
      <c r="I146" s="40"/>
      <c r="J146" s="44"/>
      <c r="K146" s="45"/>
      <c r="L146" s="46"/>
    </row>
    <row r="147" ht="15.75" customHeight="1">
      <c r="A147" s="1"/>
      <c r="B147" s="15" t="s">
        <v>456</v>
      </c>
      <c r="C147" s="15" t="s">
        <v>457</v>
      </c>
      <c r="D147" s="16"/>
      <c r="E147" s="1"/>
      <c r="F147" s="17"/>
      <c r="G147" s="18"/>
      <c r="H147" s="19"/>
      <c r="I147" s="1"/>
      <c r="J147" s="20">
        <v>2.0</v>
      </c>
      <c r="K147" s="21">
        <v>3517.05</v>
      </c>
      <c r="L147" s="22">
        <v>1758.525</v>
      </c>
    </row>
    <row r="148" ht="15.75" customHeight="1">
      <c r="A148" s="1"/>
      <c r="B148" s="15" t="s">
        <v>458</v>
      </c>
      <c r="C148" s="15" t="s">
        <v>459</v>
      </c>
      <c r="D148" s="16"/>
      <c r="E148" s="1"/>
      <c r="F148" s="17"/>
      <c r="G148" s="18"/>
      <c r="H148" s="19"/>
      <c r="I148" s="1"/>
      <c r="J148" s="20"/>
      <c r="K148" s="21"/>
      <c r="L148" s="22"/>
    </row>
    <row r="149" ht="15.75" customHeight="1">
      <c r="A149" s="1"/>
      <c r="B149" s="15" t="s">
        <v>460</v>
      </c>
      <c r="C149" s="15" t="s">
        <v>461</v>
      </c>
      <c r="D149" s="16"/>
      <c r="E149" s="1"/>
      <c r="F149" s="17"/>
      <c r="G149" s="18"/>
      <c r="H149" s="19"/>
      <c r="I149" s="1"/>
      <c r="J149" s="20"/>
      <c r="K149" s="21"/>
      <c r="L149" s="22"/>
    </row>
    <row r="150" ht="15.75" customHeight="1">
      <c r="A150" s="1"/>
      <c r="B150" s="47" t="s">
        <v>462</v>
      </c>
      <c r="C150" s="47" t="s">
        <v>463</v>
      </c>
      <c r="D150" s="48"/>
      <c r="E150" s="49"/>
      <c r="F150" s="50"/>
      <c r="G150" s="51"/>
      <c r="H150" s="52"/>
      <c r="I150" s="49"/>
      <c r="J150" s="53"/>
      <c r="K150" s="54"/>
      <c r="L150" s="55"/>
    </row>
  </sheetData>
  <mergeCells count="1">
    <mergeCell ref="F1:H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0.86"/>
    <col customWidth="1" min="2" max="2" width="19.86"/>
    <col customWidth="1" min="3" max="3" width="61.14"/>
    <col customWidth="1" min="4" max="4" width="12.71"/>
    <col customWidth="1" min="5" max="9" width="9.57"/>
    <col customWidth="1" min="10" max="10" width="14.0"/>
    <col customWidth="1" min="11" max="11" width="0.86"/>
    <col customWidth="1" min="12" max="13" width="14.43"/>
    <col customWidth="1" min="14" max="14" width="15.29"/>
    <col customWidth="1" min="15" max="15" width="0.86"/>
    <col customWidth="1" min="16" max="18" width="11.71"/>
    <col customWidth="1" min="19" max="19" width="0.86"/>
    <col customWidth="1" hidden="1" min="20" max="20" width="14.86"/>
    <col customWidth="1" hidden="1" min="21" max="21" width="0.86"/>
    <col customWidth="1" min="22" max="23" width="11.71"/>
    <col customWidth="1" min="24" max="24" width="0.86"/>
    <col customWidth="1" min="25" max="26" width="11.71"/>
    <col customWidth="1" min="27" max="48" width="9.14"/>
  </cols>
  <sheetData>
    <row r="1">
      <c r="A1" s="1"/>
      <c r="B1" s="1"/>
      <c r="C1" s="1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>
      <c r="A2" s="1"/>
      <c r="B2" s="56" t="s">
        <v>464</v>
      </c>
      <c r="C2" s="57" t="str">
        <f>Data!F4</f>
        <v>30APR2020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>
      <c r="A3" s="1"/>
      <c r="B3" s="1"/>
      <c r="C3" s="1"/>
      <c r="D3" s="6"/>
      <c r="E3" s="6"/>
      <c r="F3" s="6"/>
      <c r="G3" s="58"/>
      <c r="H3" s="6"/>
      <c r="I3" s="6"/>
      <c r="J3" s="6"/>
      <c r="K3" s="59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>
      <c r="A4" s="1"/>
      <c r="B4" s="1"/>
      <c r="C4" s="1"/>
      <c r="D4" s="6"/>
      <c r="E4" s="6"/>
      <c r="F4" s="6"/>
      <c r="G4" s="6"/>
      <c r="H4" s="6"/>
      <c r="I4" s="6"/>
      <c r="J4" s="6"/>
      <c r="K4" s="6"/>
      <c r="L4" s="6"/>
      <c r="M4" s="6"/>
      <c r="N4" s="6" t="s">
        <v>465</v>
      </c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5.0" customHeight="1">
      <c r="A5" s="60"/>
      <c r="B5" s="60"/>
      <c r="C5" s="60"/>
      <c r="D5" s="61" t="s">
        <v>466</v>
      </c>
      <c r="E5" s="62"/>
      <c r="F5" s="62"/>
      <c r="G5" s="62"/>
      <c r="H5" s="62"/>
      <c r="I5" s="62"/>
      <c r="J5" s="63"/>
      <c r="K5" s="64"/>
      <c r="L5" s="65" t="s">
        <v>467</v>
      </c>
      <c r="M5" s="4"/>
      <c r="N5" s="5"/>
      <c r="O5" s="64"/>
      <c r="P5" s="66" t="s">
        <v>468</v>
      </c>
      <c r="Q5" s="66" t="s">
        <v>469</v>
      </c>
      <c r="R5" s="66" t="s">
        <v>470</v>
      </c>
      <c r="S5" s="60"/>
      <c r="T5" s="64"/>
      <c r="U5" s="64"/>
      <c r="V5" s="61" t="s">
        <v>471</v>
      </c>
      <c r="W5" s="63"/>
      <c r="X5" s="60"/>
      <c r="Y5" s="61" t="s">
        <v>472</v>
      </c>
      <c r="Z5" s="63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</row>
    <row r="6" ht="15.0" customHeight="1">
      <c r="A6" s="60"/>
      <c r="B6" s="67" t="s">
        <v>1</v>
      </c>
      <c r="C6" s="68" t="s">
        <v>2</v>
      </c>
      <c r="D6" s="69" t="s">
        <v>473</v>
      </c>
      <c r="E6" s="70" t="s">
        <v>474</v>
      </c>
      <c r="F6" s="70" t="s">
        <v>475</v>
      </c>
      <c r="G6" s="70" t="s">
        <v>476</v>
      </c>
      <c r="H6" s="70" t="s">
        <v>477</v>
      </c>
      <c r="I6" s="70" t="s">
        <v>478</v>
      </c>
      <c r="J6" s="71" t="s">
        <v>479</v>
      </c>
      <c r="K6" s="64"/>
      <c r="L6" s="69" t="str">
        <f>Data!F4</f>
        <v>30APR2020</v>
      </c>
      <c r="M6" s="70" t="str">
        <f>Data!G4</f>
        <v>28MAY2020</v>
      </c>
      <c r="N6" s="71" t="str">
        <f>Data!H4</f>
        <v>25JUN2020</v>
      </c>
      <c r="O6" s="64"/>
      <c r="P6" s="66" t="s">
        <v>480</v>
      </c>
      <c r="Q6" s="66" t="s">
        <v>481</v>
      </c>
      <c r="R6" s="66" t="s">
        <v>481</v>
      </c>
      <c r="S6" s="60"/>
      <c r="T6" s="66" t="s">
        <v>482</v>
      </c>
      <c r="U6" s="64"/>
      <c r="V6" s="66" t="s">
        <v>483</v>
      </c>
      <c r="W6" s="66" t="s">
        <v>484</v>
      </c>
      <c r="X6" s="60"/>
      <c r="Y6" s="66" t="s">
        <v>483</v>
      </c>
      <c r="Z6" s="66" t="s">
        <v>484</v>
      </c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</row>
    <row r="7" ht="15.0" customHeight="1">
      <c r="A7" s="72" t="str">
        <f>COUNTIFS(NIFTY!$B$7:$B$56,Summary!B7)</f>
        <v>1</v>
      </c>
      <c r="B7" s="73" t="str">
        <f>HYPERLINK("C:\Users\Natik\Desktop\_\All Stock Work\Max Pain Analysis\Stocks\SBIN - STATE BANK OF INDIA.xlsx","SBIN")</f>
        <v>SBIN</v>
      </c>
      <c r="C7" s="74" t="s">
        <v>10</v>
      </c>
      <c r="D7" s="75">
        <v>183.0</v>
      </c>
      <c r="E7" s="76">
        <v>188.0</v>
      </c>
      <c r="F7" s="76">
        <v>190.0</v>
      </c>
      <c r="G7" s="76">
        <v>183.6</v>
      </c>
      <c r="H7" s="76">
        <v>187.75</v>
      </c>
      <c r="I7" s="77">
        <v>187.55</v>
      </c>
      <c r="J7" s="78" t="s">
        <v>485</v>
      </c>
      <c r="K7" s="79"/>
      <c r="L7" s="75">
        <v>187.55</v>
      </c>
      <c r="M7" s="76">
        <v>188.0</v>
      </c>
      <c r="N7" s="80">
        <v>188.85</v>
      </c>
      <c r="O7" s="79"/>
      <c r="P7" s="81">
        <v>200.0</v>
      </c>
      <c r="Q7" s="81">
        <v>191.96153382595173</v>
      </c>
      <c r="R7" s="81">
        <v>185.81640792842148</v>
      </c>
      <c r="S7" s="72"/>
      <c r="T7" s="81">
        <v>340.0</v>
      </c>
      <c r="U7" s="81">
        <v>330.0</v>
      </c>
      <c r="V7" s="81">
        <v>300.0</v>
      </c>
      <c r="W7" s="81">
        <v>200.0</v>
      </c>
      <c r="X7" s="72"/>
      <c r="Y7" s="81">
        <v>180.0</v>
      </c>
      <c r="Z7" s="81">
        <v>170.0</v>
      </c>
      <c r="AA7" s="72"/>
      <c r="AB7" s="72" t="str">
        <f t="shared" ref="AB7:AB148" si="1">IF(I7&lt;Q7,1,0)</f>
        <v>1</v>
      </c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</row>
    <row r="8" ht="15.0" customHeight="1">
      <c r="A8" s="72" t="str">
        <f>COUNTIFS(NIFTY!$B$7:$B$56,Summary!B8)</f>
        <v>0</v>
      </c>
      <c r="B8" s="73" t="str">
        <f>HYPERLINK("C:\Users\Natik\Desktop\_\All Stock Work\Max Pain Analysis\Stocks\BANKBARODA - BANK OF BARODA.xlsx","BANKBARODA")</f>
        <v>BANKBARODA</v>
      </c>
      <c r="C8" s="74" t="s">
        <v>16</v>
      </c>
      <c r="D8" s="75">
        <v>55.4</v>
      </c>
      <c r="E8" s="76">
        <v>53.1</v>
      </c>
      <c r="F8" s="76">
        <v>59.95</v>
      </c>
      <c r="G8" s="76">
        <v>52.8</v>
      </c>
      <c r="H8" s="76">
        <v>58.2</v>
      </c>
      <c r="I8" s="77">
        <v>59.2</v>
      </c>
      <c r="J8" s="78" t="s">
        <v>486</v>
      </c>
      <c r="K8" s="79"/>
      <c r="L8" s="75">
        <v>59.45</v>
      </c>
      <c r="M8" s="76">
        <v>59.9</v>
      </c>
      <c r="N8" s="80">
        <v>58.9</v>
      </c>
      <c r="O8" s="79"/>
      <c r="P8" s="81">
        <v>70.0</v>
      </c>
      <c r="Q8" s="81">
        <v>66.06526125062169</v>
      </c>
      <c r="R8" s="81">
        <v>61.12230886673637</v>
      </c>
      <c r="S8" s="72"/>
      <c r="T8" s="81">
        <v>95.0</v>
      </c>
      <c r="U8" s="81">
        <v>100.0</v>
      </c>
      <c r="V8" s="81">
        <v>80.0</v>
      </c>
      <c r="W8" s="81">
        <v>85.0</v>
      </c>
      <c r="X8" s="72"/>
      <c r="Y8" s="81">
        <v>70.0</v>
      </c>
      <c r="Z8" s="81">
        <v>60.0</v>
      </c>
      <c r="AA8" s="72"/>
      <c r="AB8" s="72" t="str">
        <f t="shared" si="1"/>
        <v>1</v>
      </c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</row>
    <row r="9" ht="15.0" customHeight="1">
      <c r="A9" s="72" t="str">
        <f>COUNTIFS(NIFTY!$B$7:$B$56,Summary!B9)</f>
        <v>0</v>
      </c>
      <c r="B9" s="73" t="str">
        <f>HYPERLINK("C:\Users\Natik\Desktop\_\All Stock Work\Max Pain Analysis\Stocks\PNB - PUNJAB NATIONAL BANK.xlsx","PNB")</f>
        <v>PNB</v>
      </c>
      <c r="C9" s="74" t="s">
        <v>20</v>
      </c>
      <c r="D9" s="75">
        <v>36.3</v>
      </c>
      <c r="E9" s="76">
        <v>36.0</v>
      </c>
      <c r="F9" s="76">
        <v>36.35</v>
      </c>
      <c r="G9" s="76">
        <v>33.15</v>
      </c>
      <c r="H9" s="76">
        <v>34.3</v>
      </c>
      <c r="I9" s="77">
        <v>34.15</v>
      </c>
      <c r="J9" s="78" t="s">
        <v>487</v>
      </c>
      <c r="K9" s="79"/>
      <c r="L9" s="75">
        <v>34.05</v>
      </c>
      <c r="M9" s="76">
        <v>34.4</v>
      </c>
      <c r="N9" s="80">
        <v>34.6</v>
      </c>
      <c r="O9" s="79"/>
      <c r="P9" s="81">
        <v>42.0</v>
      </c>
      <c r="Q9" s="81">
        <v>41.866378380584266</v>
      </c>
      <c r="R9" s="81">
        <v>39.087614522228165</v>
      </c>
      <c r="S9" s="72"/>
      <c r="T9" s="81">
        <v>65.0</v>
      </c>
      <c r="U9" s="81">
        <v>70.0</v>
      </c>
      <c r="V9" s="81">
        <v>50.0</v>
      </c>
      <c r="W9" s="81">
        <v>45.0</v>
      </c>
      <c r="X9" s="72"/>
      <c r="Y9" s="81">
        <v>30.0</v>
      </c>
      <c r="Z9" s="81">
        <v>50.0</v>
      </c>
      <c r="AA9" s="72"/>
      <c r="AB9" s="72" t="str">
        <f t="shared" si="1"/>
        <v>1</v>
      </c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</row>
    <row r="10" ht="15.0" customHeight="1">
      <c r="A10" s="72" t="str">
        <f>COUNTIFS(NIFTY!$B$7:$B$56,Summary!B10)</f>
        <v>1</v>
      </c>
      <c r="B10" s="73" t="str">
        <f>HYPERLINK("C:\Users\Natik\Desktop\_\All Stock Work\Max Pain Analysis\Stocks\HDFCBANK - HDFC BANK LIMITED.xlsx","HDFCBANK")</f>
        <v>HDFCBANK</v>
      </c>
      <c r="C10" s="74" t="s">
        <v>24</v>
      </c>
      <c r="D10" s="75">
        <v>888.9</v>
      </c>
      <c r="E10" s="76">
        <v>913.0</v>
      </c>
      <c r="F10" s="76">
        <v>930.9</v>
      </c>
      <c r="G10" s="76">
        <v>890.0</v>
      </c>
      <c r="H10" s="76">
        <v>925.05</v>
      </c>
      <c r="I10" s="77">
        <v>922.1</v>
      </c>
      <c r="J10" s="78" t="s">
        <v>488</v>
      </c>
      <c r="K10" s="79"/>
      <c r="L10" s="75">
        <v>912.25</v>
      </c>
      <c r="M10" s="76">
        <v>910.35</v>
      </c>
      <c r="N10" s="80">
        <v>908.3</v>
      </c>
      <c r="O10" s="79"/>
      <c r="P10" s="81">
        <v>900.0</v>
      </c>
      <c r="Q10" s="81">
        <v>861.60469755752</v>
      </c>
      <c r="R10" s="81">
        <v>842.4277784155023</v>
      </c>
      <c r="S10" s="72"/>
      <c r="T10" s="81">
        <v>1300.0</v>
      </c>
      <c r="U10" s="81">
        <v>1260.0</v>
      </c>
      <c r="V10" s="81">
        <v>1000.0</v>
      </c>
      <c r="W10" s="81">
        <v>1200.0</v>
      </c>
      <c r="X10" s="72"/>
      <c r="Y10" s="81">
        <v>800.0</v>
      </c>
      <c r="Z10" s="81">
        <v>700.0</v>
      </c>
      <c r="AA10" s="72"/>
      <c r="AB10" s="72" t="str">
        <f t="shared" si="1"/>
        <v>0</v>
      </c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</row>
    <row r="11" ht="15.0" customHeight="1">
      <c r="A11" s="72" t="str">
        <f>COUNTIFS(NIFTY!$B$7:$B$56,Summary!B11)</f>
        <v>1</v>
      </c>
      <c r="B11" s="73" t="str">
        <f>HYPERLINK("C:\Users\Natik\Desktop\_\All Stock Work\Max Pain Analysis\Stocks\ICICIBANK - ICICI BANK LIMITED.xlsx","ICICIBANK")</f>
        <v>ICICIBANK</v>
      </c>
      <c r="C11" s="74" t="s">
        <v>27</v>
      </c>
      <c r="D11" s="75">
        <v>296.5</v>
      </c>
      <c r="E11" s="76">
        <v>284.0</v>
      </c>
      <c r="F11" s="76">
        <v>334.15</v>
      </c>
      <c r="G11" s="76">
        <v>281.6</v>
      </c>
      <c r="H11" s="76">
        <v>316.9</v>
      </c>
      <c r="I11" s="77">
        <v>315.15</v>
      </c>
      <c r="J11" s="78" t="s">
        <v>489</v>
      </c>
      <c r="K11" s="79"/>
      <c r="L11" s="75">
        <v>314.45</v>
      </c>
      <c r="M11" s="76">
        <v>313.8</v>
      </c>
      <c r="N11" s="80">
        <v>315.0</v>
      </c>
      <c r="O11" s="79"/>
      <c r="P11" s="81">
        <v>380.0</v>
      </c>
      <c r="Q11" s="81">
        <v>360.0796268690525</v>
      </c>
      <c r="R11" s="81">
        <v>328.7649752230009</v>
      </c>
      <c r="S11" s="72"/>
      <c r="T11" s="81">
        <v>550.0</v>
      </c>
      <c r="U11" s="81">
        <v>540.0</v>
      </c>
      <c r="V11" s="81">
        <v>550.0</v>
      </c>
      <c r="W11" s="81">
        <v>500.0</v>
      </c>
      <c r="X11" s="72"/>
      <c r="Y11" s="81">
        <v>280.0</v>
      </c>
      <c r="Z11" s="81">
        <v>500.0</v>
      </c>
      <c r="AA11" s="72"/>
      <c r="AB11" s="72" t="str">
        <f t="shared" si="1"/>
        <v>1</v>
      </c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</row>
    <row r="12" ht="15.0" customHeight="1">
      <c r="A12" s="72" t="str">
        <f>COUNTIFS(NIFTY!$B$7:$B$56,Summary!B12)</f>
        <v>1</v>
      </c>
      <c r="B12" s="73" t="str">
        <f>HYPERLINK("C:\Users\Natik\Desktop\_\All Stock Work\Max Pain Analysis\Stocks\AXISBANK - AXIS BANK LIMITED.xlsx","AXISBANK")</f>
        <v>AXISBANK</v>
      </c>
      <c r="C12" s="74" t="s">
        <v>31</v>
      </c>
      <c r="D12" s="75">
        <v>303.15</v>
      </c>
      <c r="E12" s="76">
        <v>293.5</v>
      </c>
      <c r="F12" s="76">
        <v>363.75</v>
      </c>
      <c r="G12" s="76">
        <v>286.0</v>
      </c>
      <c r="H12" s="76">
        <v>326.8</v>
      </c>
      <c r="I12" s="77">
        <v>331.5</v>
      </c>
      <c r="J12" s="78" t="s">
        <v>490</v>
      </c>
      <c r="K12" s="79"/>
      <c r="L12" s="75">
        <v>328.0</v>
      </c>
      <c r="M12" s="76">
        <v>332.6</v>
      </c>
      <c r="N12" s="80">
        <v>336.35</v>
      </c>
      <c r="O12" s="79"/>
      <c r="P12" s="81">
        <v>500.0</v>
      </c>
      <c r="Q12" s="81">
        <v>485.44499206261304</v>
      </c>
      <c r="R12" s="81">
        <v>430.17018046915763</v>
      </c>
      <c r="S12" s="79"/>
      <c r="T12" s="81">
        <v>750.0</v>
      </c>
      <c r="U12" s="81">
        <v>770.0</v>
      </c>
      <c r="V12" s="81">
        <v>700.0</v>
      </c>
      <c r="W12" s="81">
        <v>740.0</v>
      </c>
      <c r="X12" s="72"/>
      <c r="Y12" s="81">
        <v>300.0</v>
      </c>
      <c r="Z12" s="81">
        <v>640.0</v>
      </c>
      <c r="AA12" s="72"/>
      <c r="AB12" s="72" t="str">
        <f t="shared" si="1"/>
        <v>1</v>
      </c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</row>
    <row r="13" ht="15.0" customHeight="1">
      <c r="A13" s="72" t="str">
        <f>COUNTIFS(NIFTY!$B$7:$B$56,Summary!B13)</f>
        <v>1</v>
      </c>
      <c r="B13" s="73" t="str">
        <f>HYPERLINK("C:\Users\Natik\Desktop\_\All Stock Work\Max Pain Analysis\Stocks\KOTAKBANK - KOTAK MAHINDRA BANK LIMITED.xlsx","KOTAKBANK")</f>
        <v>KOTAKBANK</v>
      </c>
      <c r="C13" s="74" t="s">
        <v>34</v>
      </c>
      <c r="D13" s="75">
        <v>1152.9</v>
      </c>
      <c r="E13" s="76">
        <v>1140.0</v>
      </c>
      <c r="F13" s="76">
        <v>1324.0</v>
      </c>
      <c r="G13" s="76">
        <v>1125.05</v>
      </c>
      <c r="H13" s="76">
        <v>1290.15</v>
      </c>
      <c r="I13" s="77">
        <v>1290.0</v>
      </c>
      <c r="J13" s="78" t="s">
        <v>491</v>
      </c>
      <c r="K13" s="79"/>
      <c r="L13" s="75">
        <v>1294.65</v>
      </c>
      <c r="M13" s="76">
        <v>1280.05</v>
      </c>
      <c r="N13" s="80">
        <v>1284.0</v>
      </c>
      <c r="O13" s="79"/>
      <c r="P13" s="81">
        <v>1500.0</v>
      </c>
      <c r="Q13" s="81">
        <v>1465.2766443275277</v>
      </c>
      <c r="R13" s="81">
        <v>1330.518240370784</v>
      </c>
      <c r="S13" s="72"/>
      <c r="T13" s="81">
        <v>1700.0</v>
      </c>
      <c r="U13" s="81">
        <v>1720.0</v>
      </c>
      <c r="V13" s="81">
        <v>1500.0</v>
      </c>
      <c r="W13" s="81">
        <v>1600.0</v>
      </c>
      <c r="X13" s="72"/>
      <c r="Y13" s="81">
        <v>1540.0</v>
      </c>
      <c r="Z13" s="81">
        <v>1400.0</v>
      </c>
      <c r="AA13" s="72"/>
      <c r="AB13" s="72" t="str">
        <f t="shared" si="1"/>
        <v>1</v>
      </c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</row>
    <row r="14" ht="15.0" customHeight="1">
      <c r="A14" s="72" t="str">
        <f>COUNTIFS(NIFTY!$B$7:$B$56,Summary!B14)</f>
        <v>1</v>
      </c>
      <c r="B14" s="73" t="str">
        <f>HYPERLINK("C:\Users\Natik\Desktop\_\All Stock Work\Max Pain Analysis\Stocks\INDUSINDBK - INDUSIND BANK LIMITED.xlsx","INDUSINDBK")</f>
        <v>INDUSINDBK</v>
      </c>
      <c r="C14" s="74" t="s">
        <v>37</v>
      </c>
      <c r="D14" s="75">
        <v>312.35</v>
      </c>
      <c r="E14" s="76">
        <v>292.0</v>
      </c>
      <c r="F14" s="76">
        <v>324.0</v>
      </c>
      <c r="G14" s="76">
        <v>281.15</v>
      </c>
      <c r="H14" s="76">
        <v>301.3</v>
      </c>
      <c r="I14" s="77">
        <v>301.95</v>
      </c>
      <c r="J14" s="78" t="s">
        <v>492</v>
      </c>
      <c r="K14" s="79"/>
      <c r="L14" s="75">
        <v>302.25</v>
      </c>
      <c r="M14" s="76">
        <v>307.0</v>
      </c>
      <c r="N14" s="80">
        <v>309.0</v>
      </c>
      <c r="O14" s="79"/>
      <c r="P14" s="81">
        <v>700.0</v>
      </c>
      <c r="Q14" s="81">
        <v>655.7600912774349</v>
      </c>
      <c r="R14" s="81">
        <v>599.8646155709395</v>
      </c>
      <c r="S14" s="72"/>
      <c r="T14" s="81">
        <v>1400.0</v>
      </c>
      <c r="U14" s="81">
        <v>1500.0</v>
      </c>
      <c r="V14" s="81">
        <v>700.0</v>
      </c>
      <c r="W14" s="81">
        <v>1100.0</v>
      </c>
      <c r="X14" s="72"/>
      <c r="Y14" s="81">
        <v>700.0</v>
      </c>
      <c r="Z14" s="81">
        <v>800.0</v>
      </c>
      <c r="AA14" s="72"/>
      <c r="AB14" s="72" t="str">
        <f t="shared" si="1"/>
        <v>1</v>
      </c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</row>
    <row r="15" ht="15.0" customHeight="1">
      <c r="A15" s="72" t="str">
        <f>COUNTIFS(NIFTY!$B$7:$B$56,Summary!B15)</f>
        <v>0</v>
      </c>
      <c r="B15" s="73" t="str">
        <f>HYPERLINK("C:\Users\Natik\Desktop\_\All Stock Work\Max Pain Analysis\Stocks\FEDERALBNK - THE FEDERAL BANKÂ  LIMITED.xlsx","FEDERALBNK")</f>
        <v>FEDERALBNK</v>
      </c>
      <c r="C15" s="74" t="s">
        <v>40</v>
      </c>
      <c r="D15" s="75">
        <v>37.8</v>
      </c>
      <c r="E15" s="76">
        <v>37.0</v>
      </c>
      <c r="F15" s="76">
        <v>41.5</v>
      </c>
      <c r="G15" s="76">
        <v>35.7</v>
      </c>
      <c r="H15" s="76">
        <v>38.3</v>
      </c>
      <c r="I15" s="77">
        <v>38.15</v>
      </c>
      <c r="J15" s="78" t="s">
        <v>493</v>
      </c>
      <c r="K15" s="79"/>
      <c r="L15" s="75">
        <v>38.45</v>
      </c>
      <c r="M15" s="76">
        <v>38.85</v>
      </c>
      <c r="N15" s="80">
        <v>38.4</v>
      </c>
      <c r="O15" s="79"/>
      <c r="P15" s="81">
        <v>62.5</v>
      </c>
      <c r="Q15" s="81">
        <v>60.23240655413454</v>
      </c>
      <c r="R15" s="81">
        <v>55.53701880731568</v>
      </c>
      <c r="S15" s="72"/>
      <c r="T15" s="81">
        <v>100.0</v>
      </c>
      <c r="U15" s="81">
        <v>95.0</v>
      </c>
      <c r="V15" s="81">
        <v>90.0</v>
      </c>
      <c r="W15" s="81">
        <v>80.0</v>
      </c>
      <c r="X15" s="72"/>
      <c r="Y15" s="81">
        <v>80.0</v>
      </c>
      <c r="Z15" s="81">
        <v>70.0</v>
      </c>
      <c r="AA15" s="72"/>
      <c r="AB15" s="72" t="str">
        <f t="shared" si="1"/>
        <v>1</v>
      </c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</row>
    <row r="16" ht="15.0" customHeight="1">
      <c r="A16" s="72" t="str">
        <f>COUNTIFS(NIFTY!$B$7:$B$56,Summary!B16)</f>
        <v>0</v>
      </c>
      <c r="B16" s="73" t="str">
        <f>HYPERLINK("C:\Users\Natik\Desktop\_\All Stock Work\Max Pain Analysis\Stocks\IDFCFIRSTB - IDFC FIRST BANK LIMITED.xlsx","IDFCFIRSTB")</f>
        <v>IDFCFIRSTB</v>
      </c>
      <c r="C16" s="74" t="s">
        <v>43</v>
      </c>
      <c r="D16" s="75">
        <v>19.1</v>
      </c>
      <c r="E16" s="76">
        <v>18.5</v>
      </c>
      <c r="F16" s="76">
        <v>20.85</v>
      </c>
      <c r="G16" s="76">
        <v>18.15</v>
      </c>
      <c r="H16" s="76">
        <v>20.45</v>
      </c>
      <c r="I16" s="77">
        <v>20.55</v>
      </c>
      <c r="J16" s="78" t="s">
        <v>494</v>
      </c>
      <c r="K16" s="79"/>
      <c r="L16" s="75">
        <v>20.45</v>
      </c>
      <c r="M16" s="76">
        <v>19.15</v>
      </c>
      <c r="N16" s="80">
        <v>19.0</v>
      </c>
      <c r="O16" s="79"/>
      <c r="P16" s="81">
        <v>32.0</v>
      </c>
      <c r="Q16" s="81">
        <v>33.48138197656482</v>
      </c>
      <c r="R16" s="81">
        <v>30.05756461788299</v>
      </c>
      <c r="S16" s="72"/>
      <c r="T16" s="81">
        <v>50.0</v>
      </c>
      <c r="U16" s="81">
        <v>45.0</v>
      </c>
      <c r="V16" s="81">
        <v>40.0</v>
      </c>
      <c r="W16" s="81">
        <v>30.0</v>
      </c>
      <c r="X16" s="72"/>
      <c r="Y16" s="81">
        <v>40.0</v>
      </c>
      <c r="Z16" s="81">
        <v>39.0</v>
      </c>
      <c r="AA16" s="72"/>
      <c r="AB16" s="72" t="str">
        <f t="shared" si="1"/>
        <v>1</v>
      </c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</row>
    <row r="17" ht="15.0" customHeight="1">
      <c r="A17" s="72" t="str">
        <f>COUNTIFS(NIFTY!$B$7:$B$56,Summary!B17)</f>
        <v>0</v>
      </c>
      <c r="B17" s="73" t="str">
        <f>HYPERLINK("C:\Users\Natik\Desktop\_\All Stock Work\Max Pain Analysis\Stocks\RBLBANK - RBL BANK LIMITED.xlsx","RBLBANK")</f>
        <v>RBLBANK</v>
      </c>
      <c r="C17" s="74" t="s">
        <v>46</v>
      </c>
      <c r="D17" s="75">
        <v>154.9</v>
      </c>
      <c r="E17" s="76">
        <v>147.0</v>
      </c>
      <c r="F17" s="76">
        <v>170.35</v>
      </c>
      <c r="G17" s="76">
        <v>141.0</v>
      </c>
      <c r="H17" s="76">
        <v>161.3</v>
      </c>
      <c r="I17" s="77">
        <v>163.9</v>
      </c>
      <c r="J17" s="78" t="s">
        <v>495</v>
      </c>
      <c r="K17" s="79"/>
      <c r="L17" s="75">
        <v>164.45</v>
      </c>
      <c r="M17" s="76">
        <v>134.0</v>
      </c>
      <c r="N17" s="80">
        <v>131.6</v>
      </c>
      <c r="O17" s="79"/>
      <c r="P17" s="81">
        <v>160.0</v>
      </c>
      <c r="Q17" s="81">
        <v>178.7087047430395</v>
      </c>
      <c r="R17" s="81">
        <v>173.0514133886517</v>
      </c>
      <c r="S17" s="72"/>
      <c r="T17" s="81">
        <v>360.0</v>
      </c>
      <c r="U17" s="81">
        <v>340.0</v>
      </c>
      <c r="V17" s="81">
        <v>160.0</v>
      </c>
      <c r="W17" s="81">
        <v>200.0</v>
      </c>
      <c r="X17" s="72"/>
      <c r="Y17" s="81">
        <v>160.0</v>
      </c>
      <c r="Z17" s="81">
        <v>140.0</v>
      </c>
      <c r="AA17" s="72"/>
      <c r="AB17" s="72" t="str">
        <f t="shared" si="1"/>
        <v>1</v>
      </c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</row>
    <row r="18" ht="15.0" customHeight="1">
      <c r="A18" s="72" t="str">
        <f>COUNTIFS(NIFTY!$B$7:$B$56,Summary!B18)</f>
        <v>0</v>
      </c>
      <c r="B18" s="73" t="str">
        <f>HYPERLINK("C:\Users\Natik\Desktop\_\All Stock Work\Max Pain Analysis\Stocks\YESBANK - YES BANK LIMITED.xlsx","YESBANK")</f>
        <v>YESBANK</v>
      </c>
      <c r="C18" s="74" t="s">
        <v>49</v>
      </c>
      <c r="D18" s="75">
        <v>35.0</v>
      </c>
      <c r="E18" s="76">
        <v>35.3</v>
      </c>
      <c r="F18" s="76">
        <v>35.5</v>
      </c>
      <c r="G18" s="76">
        <v>28.5</v>
      </c>
      <c r="H18" s="76">
        <v>29.6</v>
      </c>
      <c r="I18" s="77">
        <v>29.45</v>
      </c>
      <c r="J18" s="78" t="s">
        <v>496</v>
      </c>
      <c r="K18" s="79"/>
      <c r="L18" s="75">
        <v>29.35</v>
      </c>
      <c r="M18" s="76">
        <v>22.85</v>
      </c>
      <c r="N18" s="80">
        <v>28.0</v>
      </c>
      <c r="O18" s="79"/>
      <c r="P18" s="81">
        <v>25.0</v>
      </c>
      <c r="Q18" s="81">
        <v>34.574992312277196</v>
      </c>
      <c r="R18" s="81">
        <v>31.54227261864768</v>
      </c>
      <c r="S18" s="72"/>
      <c r="T18" s="81">
        <v>50.0</v>
      </c>
      <c r="U18" s="81">
        <v>60.0</v>
      </c>
      <c r="V18" s="81">
        <v>100.0</v>
      </c>
      <c r="W18" s="81">
        <v>25.0</v>
      </c>
      <c r="X18" s="72"/>
      <c r="Y18" s="81">
        <v>10.0</v>
      </c>
      <c r="Z18" s="81">
        <v>5.0</v>
      </c>
      <c r="AA18" s="72"/>
      <c r="AB18" s="72" t="str">
        <f t="shared" si="1"/>
        <v>1</v>
      </c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</row>
    <row r="19" ht="15.0" customHeight="1">
      <c r="A19" s="72" t="str">
        <f>COUNTIFS(NIFTY!$B$7:$B$56,Summary!B19)</f>
        <v>0</v>
      </c>
      <c r="B19" s="73" t="str">
        <f>HYPERLINK("C:\Users\Natik\Desktop\_\All Stock Work\Max Pain Analysis\Stocks\CANBK - CANARA BANK.xlsx","CANBK")</f>
        <v>CANBK</v>
      </c>
      <c r="C19" s="74" t="s">
        <v>53</v>
      </c>
      <c r="D19" s="75">
        <v>80.4</v>
      </c>
      <c r="E19" s="76">
        <v>77.5</v>
      </c>
      <c r="F19" s="76">
        <v>86.7</v>
      </c>
      <c r="G19" s="76">
        <v>77.0</v>
      </c>
      <c r="H19" s="76">
        <v>83.65</v>
      </c>
      <c r="I19" s="77">
        <v>83.7</v>
      </c>
      <c r="J19" s="78" t="s">
        <v>497</v>
      </c>
      <c r="K19" s="79"/>
      <c r="L19" s="75">
        <v>83.8</v>
      </c>
      <c r="M19" s="76">
        <v>84.15</v>
      </c>
      <c r="N19" s="80">
        <v>84.95</v>
      </c>
      <c r="O19" s="79"/>
      <c r="P19" s="81">
        <v>115.0</v>
      </c>
      <c r="Q19" s="81">
        <v>110.7961820746981</v>
      </c>
      <c r="R19" s="81">
        <v>104.8512789862582</v>
      </c>
      <c r="S19" s="72"/>
      <c r="T19" s="81">
        <v>230.0</v>
      </c>
      <c r="U19" s="81">
        <v>220.0</v>
      </c>
      <c r="V19" s="81">
        <v>100.0</v>
      </c>
      <c r="W19" s="81">
        <v>150.0</v>
      </c>
      <c r="X19" s="72"/>
      <c r="Y19" s="81">
        <v>80.0</v>
      </c>
      <c r="Z19" s="81">
        <v>140.0</v>
      </c>
      <c r="AA19" s="72"/>
      <c r="AB19" s="72" t="str">
        <f t="shared" si="1"/>
        <v>1</v>
      </c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</row>
    <row r="20" ht="15.0" customHeight="1">
      <c r="A20" s="72" t="str">
        <f>COUNTIFS(NIFTY!$B$7:$B$56,Summary!B20)</f>
        <v>0</v>
      </c>
      <c r="B20" s="82" t="str">
        <f>HYPERLINK("C:\Users\Natik\Desktop\_\All Stock Work\Max Pain Analysis\Stocks\ACC - ACC LIMITED.xlsx","ACC")</f>
        <v>ACC</v>
      </c>
      <c r="C20" s="83" t="s">
        <v>56</v>
      </c>
      <c r="D20" s="84">
        <v>947.75</v>
      </c>
      <c r="E20" s="85">
        <v>928.0</v>
      </c>
      <c r="F20" s="85">
        <v>939.6</v>
      </c>
      <c r="G20" s="85">
        <v>895.15</v>
      </c>
      <c r="H20" s="85">
        <v>918.2</v>
      </c>
      <c r="I20" s="86">
        <v>911.5</v>
      </c>
      <c r="J20" s="87" t="s">
        <v>498</v>
      </c>
      <c r="K20" s="79"/>
      <c r="L20" s="84">
        <v>916.05</v>
      </c>
      <c r="M20" s="85">
        <v>911.0</v>
      </c>
      <c r="N20" s="88">
        <v>1130.0</v>
      </c>
      <c r="O20" s="79"/>
      <c r="P20" s="89">
        <v>1060.0</v>
      </c>
      <c r="Q20" s="89">
        <v>1261.651242398961</v>
      </c>
      <c r="R20" s="89">
        <v>1215.7622735805662</v>
      </c>
      <c r="S20" s="72"/>
      <c r="T20" s="89"/>
      <c r="U20" s="79"/>
      <c r="V20" s="81">
        <v>1400.0</v>
      </c>
      <c r="W20" s="81">
        <v>1500.0</v>
      </c>
      <c r="X20" s="72"/>
      <c r="Y20" s="81">
        <v>1380.0</v>
      </c>
      <c r="Z20" s="81">
        <v>1360.0</v>
      </c>
      <c r="AA20" s="72"/>
      <c r="AB20" s="72" t="str">
        <f t="shared" si="1"/>
        <v>1</v>
      </c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</row>
    <row r="21" ht="15.0" customHeight="1">
      <c r="A21" s="72" t="str">
        <f>COUNTIFS(NIFTY!$B$7:$B$56,Summary!B21)</f>
        <v>0</v>
      </c>
      <c r="B21" s="73" t="str">
        <f>HYPERLINK("C:\Users\Natik\Desktop\_\All Stock Work\Max Pain Analysis\Stocks\ADANIENT - ADANI ENTERPRISES LIMITED.xlsx","ADANIENT")</f>
        <v>ADANIENT</v>
      </c>
      <c r="C21" s="74" t="s">
        <v>59</v>
      </c>
      <c r="D21" s="75">
        <v>130.35</v>
      </c>
      <c r="E21" s="76">
        <v>126.0</v>
      </c>
      <c r="F21" s="76">
        <v>134.9</v>
      </c>
      <c r="G21" s="76">
        <v>125.0</v>
      </c>
      <c r="H21" s="76">
        <v>132.3</v>
      </c>
      <c r="I21" s="77">
        <v>134.0</v>
      </c>
      <c r="J21" s="78" t="s">
        <v>499</v>
      </c>
      <c r="K21" s="79"/>
      <c r="L21" s="75">
        <v>135.0</v>
      </c>
      <c r="M21" s="76">
        <v>136.0</v>
      </c>
      <c r="N21" s="80">
        <v>137.55</v>
      </c>
      <c r="O21" s="79"/>
      <c r="P21" s="81">
        <v>190.0</v>
      </c>
      <c r="Q21" s="81">
        <v>174.44633921516987</v>
      </c>
      <c r="R21" s="81">
        <v>162.33432590740878</v>
      </c>
      <c r="S21" s="72"/>
      <c r="T21" s="81"/>
      <c r="U21" s="79"/>
      <c r="V21" s="81">
        <v>200.0</v>
      </c>
      <c r="W21" s="81">
        <v>220.0</v>
      </c>
      <c r="X21" s="72"/>
      <c r="Y21" s="81">
        <v>200.0</v>
      </c>
      <c r="Z21" s="81">
        <v>190.0</v>
      </c>
      <c r="AA21" s="72"/>
      <c r="AB21" s="72" t="str">
        <f t="shared" si="1"/>
        <v>1</v>
      </c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</row>
    <row r="22" ht="15.0" customHeight="1">
      <c r="A22" s="72" t="str">
        <f>COUNTIFS(NIFTY!$B$7:$B$56,Summary!B22)</f>
        <v>1</v>
      </c>
      <c r="B22" s="73" t="str">
        <f>HYPERLINK("C:\Users\Natik\Desktop\_\All Stock Work\Max Pain Analysis\Stocks\ADANIPORTS - ADANI PORTS AND SPECIAL ECONOMIC ZONE LIMITED.xlsx","ADANIPORTS")</f>
        <v>ADANIPORTS</v>
      </c>
      <c r="C22" s="74" t="s">
        <v>62</v>
      </c>
      <c r="D22" s="75">
        <v>231.75</v>
      </c>
      <c r="E22" s="76">
        <v>222.3</v>
      </c>
      <c r="F22" s="76">
        <v>266.5</v>
      </c>
      <c r="G22" s="76">
        <v>222.3</v>
      </c>
      <c r="H22" s="76">
        <v>255.6</v>
      </c>
      <c r="I22" s="77">
        <v>255.6</v>
      </c>
      <c r="J22" s="78" t="s">
        <v>500</v>
      </c>
      <c r="K22" s="79"/>
      <c r="L22" s="75">
        <v>255.05</v>
      </c>
      <c r="M22" s="76">
        <v>255.9</v>
      </c>
      <c r="N22" s="80">
        <v>257.3</v>
      </c>
      <c r="O22" s="79"/>
      <c r="P22" s="81">
        <v>315.0</v>
      </c>
      <c r="Q22" s="81">
        <v>298.38435315900495</v>
      </c>
      <c r="R22" s="81">
        <v>272.5054417925992</v>
      </c>
      <c r="S22" s="72"/>
      <c r="T22" s="81"/>
      <c r="U22" s="79"/>
      <c r="V22" s="81">
        <v>400.0</v>
      </c>
      <c r="W22" s="81">
        <v>360.0</v>
      </c>
      <c r="X22" s="72"/>
      <c r="Y22" s="81">
        <v>325.0</v>
      </c>
      <c r="Z22" s="81">
        <v>335.0</v>
      </c>
      <c r="AA22" s="72"/>
      <c r="AB22" s="72" t="str">
        <f t="shared" si="1"/>
        <v>1</v>
      </c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</row>
    <row r="23" ht="15.0" customHeight="1">
      <c r="A23" s="72" t="str">
        <f>COUNTIFS(NIFTY!$B$7:$B$56,Summary!B23)</f>
        <v>0</v>
      </c>
      <c r="B23" s="73" t="str">
        <f>HYPERLINK("C:\Users\Natik\Desktop\_\All Stock Work\Max Pain Analysis\Stocks\ADANIPOWER - ADANI POWER LIMITED.xlsx","ADANIPOWER")</f>
        <v>ADANIPOWER</v>
      </c>
      <c r="C23" s="74" t="s">
        <v>65</v>
      </c>
      <c r="D23" s="75">
        <v>25.65</v>
      </c>
      <c r="E23" s="76">
        <v>27.35</v>
      </c>
      <c r="F23" s="76">
        <v>28.45</v>
      </c>
      <c r="G23" s="76">
        <v>25.65</v>
      </c>
      <c r="H23" s="76">
        <v>27.95</v>
      </c>
      <c r="I23" s="77">
        <v>28.05</v>
      </c>
      <c r="J23" s="78" t="s">
        <v>501</v>
      </c>
      <c r="K23" s="79"/>
      <c r="L23" s="75">
        <v>28.15</v>
      </c>
      <c r="M23" s="76">
        <v>28.2</v>
      </c>
      <c r="N23" s="80">
        <v>26.0</v>
      </c>
      <c r="O23" s="79"/>
      <c r="P23" s="81">
        <v>40.0</v>
      </c>
      <c r="Q23" s="81">
        <v>36.03370808109926</v>
      </c>
      <c r="R23" s="81">
        <v>34.36621835124029</v>
      </c>
      <c r="S23" s="72"/>
      <c r="T23" s="81"/>
      <c r="U23" s="79"/>
      <c r="V23" s="81">
        <v>40.0</v>
      </c>
      <c r="W23" s="81">
        <v>50.0</v>
      </c>
      <c r="X23" s="72"/>
      <c r="Y23" s="81">
        <v>25.0</v>
      </c>
      <c r="Z23" s="81">
        <v>45.0</v>
      </c>
      <c r="AA23" s="72"/>
      <c r="AB23" s="72" t="str">
        <f t="shared" si="1"/>
        <v>1</v>
      </c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</row>
    <row r="24" ht="15.0" customHeight="1">
      <c r="A24" s="72" t="str">
        <f>COUNTIFS(NIFTY!$B$7:$B$56,Summary!B24)</f>
        <v>0</v>
      </c>
      <c r="B24" s="73" t="str">
        <f>HYPERLINK("C:\Users\Natik\Desktop\_\All Stock Work\Max Pain Analysis\Stocks\AMARAJABAT - AMARA RAJA BATTERIES LIMITED.xlsx","AMARAJABAT")</f>
        <v>AMARAJABAT</v>
      </c>
      <c r="C24" s="74" t="s">
        <v>68</v>
      </c>
      <c r="D24" s="75">
        <v>380.15</v>
      </c>
      <c r="E24" s="76">
        <v>370.35</v>
      </c>
      <c r="F24" s="76">
        <v>418.15</v>
      </c>
      <c r="G24" s="76">
        <v>370.35</v>
      </c>
      <c r="H24" s="76">
        <v>409.15</v>
      </c>
      <c r="I24" s="77">
        <v>418.15</v>
      </c>
      <c r="J24" s="78" t="s">
        <v>502</v>
      </c>
      <c r="K24" s="79"/>
      <c r="L24" s="75">
        <v>414.7</v>
      </c>
      <c r="M24" s="76">
        <v>416.05</v>
      </c>
      <c r="N24" s="80">
        <v>400.15</v>
      </c>
      <c r="O24" s="79"/>
      <c r="P24" s="81">
        <v>580.0</v>
      </c>
      <c r="Q24" s="81">
        <v>599.6688957755667</v>
      </c>
      <c r="R24" s="81">
        <v>584.6652531142327</v>
      </c>
      <c r="S24" s="72"/>
      <c r="T24" s="81"/>
      <c r="U24" s="79"/>
      <c r="V24" s="81">
        <v>660.0</v>
      </c>
      <c r="W24" s="81">
        <v>680.0</v>
      </c>
      <c r="X24" s="72"/>
      <c r="Y24" s="81">
        <v>600.0</v>
      </c>
      <c r="Z24" s="81">
        <v>620.0</v>
      </c>
      <c r="AA24" s="72"/>
      <c r="AB24" s="72" t="str">
        <f t="shared" si="1"/>
        <v>1</v>
      </c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</row>
    <row r="25" ht="15.0" customHeight="1">
      <c r="A25" s="72" t="str">
        <f>COUNTIFS(NIFTY!$B$7:$B$56,Summary!B25)</f>
        <v>0</v>
      </c>
      <c r="B25" s="73" t="str">
        <f>HYPERLINK("C:\Users\Natik\Desktop\_\All Stock Work\Max Pain Analysis\Stocks\AMBUJACEM - AMBUJA CEMENTS LIMITED.xlsx","AMBUJACEM")</f>
        <v>AMBUJACEM</v>
      </c>
      <c r="C25" s="74" t="s">
        <v>71</v>
      </c>
      <c r="D25" s="75">
        <v>142.15</v>
      </c>
      <c r="E25" s="76">
        <v>139.0</v>
      </c>
      <c r="F25" s="76">
        <v>144.45</v>
      </c>
      <c r="G25" s="76">
        <v>138.0</v>
      </c>
      <c r="H25" s="76">
        <v>139.35</v>
      </c>
      <c r="I25" s="77">
        <v>138.7</v>
      </c>
      <c r="J25" s="78" t="s">
        <v>503</v>
      </c>
      <c r="K25" s="79"/>
      <c r="L25" s="75">
        <v>142.85</v>
      </c>
      <c r="M25" s="76">
        <v>141.8</v>
      </c>
      <c r="N25" s="80">
        <v>147.3</v>
      </c>
      <c r="O25" s="79"/>
      <c r="P25" s="81">
        <v>185.0</v>
      </c>
      <c r="Q25" s="81">
        <v>168.88304250615172</v>
      </c>
      <c r="R25" s="81">
        <v>162.46629456507372</v>
      </c>
      <c r="S25" s="72"/>
      <c r="T25" s="81"/>
      <c r="U25" s="79"/>
      <c r="V25" s="81">
        <v>200.0</v>
      </c>
      <c r="W25" s="81">
        <v>210.0</v>
      </c>
      <c r="X25" s="72"/>
      <c r="Y25" s="81">
        <v>200.0</v>
      </c>
      <c r="Z25" s="81">
        <v>190.0</v>
      </c>
      <c r="AA25" s="72"/>
      <c r="AB25" s="72" t="str">
        <f t="shared" si="1"/>
        <v>1</v>
      </c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</row>
    <row r="26" ht="15.0" customHeight="1">
      <c r="A26" s="72" t="str">
        <f>COUNTIFS(NIFTY!$B$7:$B$56,Summary!B26)</f>
        <v>0</v>
      </c>
      <c r="B26" s="73" t="str">
        <f>HYPERLINK("C:\Users\Natik\Desktop\_\All Stock Work\Max Pain Analysis\Stocks\APOLLOHOSP - APOLLO HOSPITALS ENTERPRISE LIMITED.xlsx","APOLLOHOSP")</f>
        <v>APOLLOHOSP</v>
      </c>
      <c r="C26" s="74" t="s">
        <v>74</v>
      </c>
      <c r="D26" s="75">
        <v>1158.65</v>
      </c>
      <c r="E26" s="76">
        <v>1250.0</v>
      </c>
      <c r="F26" s="76">
        <v>1265.0</v>
      </c>
      <c r="G26" s="76">
        <v>1124.15</v>
      </c>
      <c r="H26" s="76">
        <v>1156.0</v>
      </c>
      <c r="I26" s="77">
        <v>1160.1</v>
      </c>
      <c r="J26" s="78" t="s">
        <v>504</v>
      </c>
      <c r="K26" s="79"/>
      <c r="L26" s="75">
        <v>1178.8</v>
      </c>
      <c r="M26" s="76">
        <v>1161.9</v>
      </c>
      <c r="N26" s="80">
        <v>1360.0</v>
      </c>
      <c r="O26" s="79"/>
      <c r="P26" s="81">
        <v>1420.0</v>
      </c>
      <c r="Q26" s="81">
        <v>1576.8494237940467</v>
      </c>
      <c r="R26" s="81">
        <v>1507.4418742661428</v>
      </c>
      <c r="S26" s="72"/>
      <c r="T26" s="81"/>
      <c r="U26" s="79"/>
      <c r="V26" s="81">
        <v>1800.0</v>
      </c>
      <c r="W26" s="81">
        <v>1700.0</v>
      </c>
      <c r="X26" s="72"/>
      <c r="Y26" s="81">
        <v>1740.0</v>
      </c>
      <c r="Z26" s="81">
        <v>1600.0</v>
      </c>
      <c r="AA26" s="72"/>
      <c r="AB26" s="72" t="str">
        <f t="shared" si="1"/>
        <v>1</v>
      </c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</row>
    <row r="27" ht="15.0" customHeight="1">
      <c r="A27" s="72" t="str">
        <f>COUNTIFS(NIFTY!$B$7:$B$56,Summary!B27)</f>
        <v>0</v>
      </c>
      <c r="B27" s="73" t="str">
        <f>HYPERLINK("C:\Users\Natik\Desktop\_\All Stock Work\Max Pain Analysis\Stocks\APOLLOTYRE - APOLLO TYRES LIMITED.xlsx","APOLLOTYRE")</f>
        <v>APOLLOTYRE</v>
      </c>
      <c r="C27" s="74" t="s">
        <v>77</v>
      </c>
      <c r="D27" s="75">
        <v>78.55</v>
      </c>
      <c r="E27" s="76">
        <v>75.0</v>
      </c>
      <c r="F27" s="76">
        <v>82.65</v>
      </c>
      <c r="G27" s="76">
        <v>74.95</v>
      </c>
      <c r="H27" s="76">
        <v>80.85</v>
      </c>
      <c r="I27" s="77">
        <v>80.25</v>
      </c>
      <c r="J27" s="78" t="s">
        <v>505</v>
      </c>
      <c r="K27" s="79"/>
      <c r="L27" s="75">
        <v>79.8</v>
      </c>
      <c r="M27" s="76">
        <v>79.7</v>
      </c>
      <c r="N27" s="80">
        <v>81.4</v>
      </c>
      <c r="O27" s="79"/>
      <c r="P27" s="81">
        <v>105.0</v>
      </c>
      <c r="Q27" s="81">
        <v>98.3719760435703</v>
      </c>
      <c r="R27" s="81">
        <v>94.10948897528483</v>
      </c>
      <c r="S27" s="72"/>
      <c r="T27" s="81"/>
      <c r="U27" s="79"/>
      <c r="V27" s="81">
        <v>150.0</v>
      </c>
      <c r="W27" s="81">
        <v>160.0</v>
      </c>
      <c r="X27" s="72"/>
      <c r="Y27" s="81">
        <v>135.0</v>
      </c>
      <c r="Z27" s="81">
        <v>100.0</v>
      </c>
      <c r="AA27" s="72"/>
      <c r="AB27" s="72" t="str">
        <f t="shared" si="1"/>
        <v>1</v>
      </c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</row>
    <row r="28" ht="15.0" customHeight="1">
      <c r="A28" s="72" t="str">
        <f>COUNTIFS(NIFTY!$B$7:$B$56,Summary!B28)</f>
        <v>0</v>
      </c>
      <c r="B28" s="73" t="str">
        <f>HYPERLINK("C:\Users\Natik\Desktop\_\All Stock Work\Max Pain Analysis\Stocks\ASHOKLEY - ASHOK LEYLAND LIMITED.xlsx","ASHOKLEY")</f>
        <v>ASHOKLEY</v>
      </c>
      <c r="C28" s="74" t="s">
        <v>80</v>
      </c>
      <c r="D28" s="75">
        <v>35.55</v>
      </c>
      <c r="E28" s="76">
        <v>35.75</v>
      </c>
      <c r="F28" s="76">
        <v>36.5</v>
      </c>
      <c r="G28" s="76">
        <v>33.7</v>
      </c>
      <c r="H28" s="76">
        <v>34.45</v>
      </c>
      <c r="I28" s="77">
        <v>34.4</v>
      </c>
      <c r="J28" s="78" t="s">
        <v>506</v>
      </c>
      <c r="K28" s="79"/>
      <c r="L28" s="75">
        <v>34.75</v>
      </c>
      <c r="M28" s="76">
        <v>35.0</v>
      </c>
      <c r="N28" s="80">
        <v>35.0</v>
      </c>
      <c r="O28" s="79"/>
      <c r="P28" s="81">
        <v>57.5</v>
      </c>
      <c r="Q28" s="81">
        <v>49.36229092254428</v>
      </c>
      <c r="R28" s="81">
        <v>46.52775684960994</v>
      </c>
      <c r="S28" s="72"/>
      <c r="T28" s="81"/>
      <c r="U28" s="79"/>
      <c r="V28" s="81">
        <v>70.0</v>
      </c>
      <c r="W28" s="81">
        <v>80.0</v>
      </c>
      <c r="X28" s="72"/>
      <c r="Y28" s="81">
        <v>60.0</v>
      </c>
      <c r="Z28" s="81">
        <v>70.0</v>
      </c>
      <c r="AA28" s="72"/>
      <c r="AB28" s="72" t="str">
        <f t="shared" si="1"/>
        <v>1</v>
      </c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</row>
    <row r="29" ht="15.0" customHeight="1">
      <c r="A29" s="72" t="str">
        <f>COUNTIFS(NIFTY!$B$7:$B$56,Summary!B29)</f>
        <v>1</v>
      </c>
      <c r="B29" s="73" t="str">
        <f>HYPERLINK("C:\Users\Natik\Desktop\_\All Stock Work\Max Pain Analysis\Stocks\ASIANPAINT - ASIAN PAINTS LIMITED.xlsx","ASIANPAINT")</f>
        <v>ASIANPAINT</v>
      </c>
      <c r="C29" s="74" t="s">
        <v>84</v>
      </c>
      <c r="D29" s="75">
        <v>1524.85</v>
      </c>
      <c r="E29" s="76">
        <v>1446.55</v>
      </c>
      <c r="F29" s="76">
        <v>1605.35</v>
      </c>
      <c r="G29" s="76">
        <v>1446.0</v>
      </c>
      <c r="H29" s="76">
        <v>1593.15</v>
      </c>
      <c r="I29" s="77">
        <v>1580.05</v>
      </c>
      <c r="J29" s="78" t="s">
        <v>507</v>
      </c>
      <c r="K29" s="79"/>
      <c r="L29" s="75">
        <v>1580.6</v>
      </c>
      <c r="M29" s="76">
        <v>1590.05</v>
      </c>
      <c r="N29" s="80">
        <v>1597.25</v>
      </c>
      <c r="O29" s="79"/>
      <c r="P29" s="81">
        <v>1700.0</v>
      </c>
      <c r="Q29" s="81">
        <v>1683.1508701007485</v>
      </c>
      <c r="R29" s="81">
        <v>1570.9798430600345</v>
      </c>
      <c r="S29" s="72"/>
      <c r="T29" s="81"/>
      <c r="U29" s="79"/>
      <c r="V29" s="81">
        <v>2000.0</v>
      </c>
      <c r="W29" s="81">
        <v>1600.0</v>
      </c>
      <c r="X29" s="72"/>
      <c r="Y29" s="81">
        <v>1600.0</v>
      </c>
      <c r="Z29" s="81">
        <v>1500.0</v>
      </c>
      <c r="AA29" s="72"/>
      <c r="AB29" s="72" t="str">
        <f t="shared" si="1"/>
        <v>1</v>
      </c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</row>
    <row r="30" ht="15.0" customHeight="1">
      <c r="A30" s="72" t="str">
        <f>COUNTIFS(NIFTY!$B$7:$B$56,Summary!B30)</f>
        <v>0</v>
      </c>
      <c r="B30" s="73" t="str">
        <f>HYPERLINK("C:\Users\Natik\Desktop\_\All Stock Work\Max Pain Analysis\Stocks\AUROPHARMA - AUROBINDO PHARMA LIMITED.xlsx","AUROPHARMA")</f>
        <v>AUROPHARMA</v>
      </c>
      <c r="C30" s="74" t="s">
        <v>87</v>
      </c>
      <c r="D30" s="75">
        <v>413.15</v>
      </c>
      <c r="E30" s="76">
        <v>415.0</v>
      </c>
      <c r="F30" s="76">
        <v>416.15</v>
      </c>
      <c r="G30" s="76">
        <v>384.45</v>
      </c>
      <c r="H30" s="76">
        <v>392.3</v>
      </c>
      <c r="I30" s="77">
        <v>392.35</v>
      </c>
      <c r="J30" s="78" t="s">
        <v>508</v>
      </c>
      <c r="K30" s="79"/>
      <c r="L30" s="75">
        <v>392.5</v>
      </c>
      <c r="M30" s="76">
        <v>394.9</v>
      </c>
      <c r="N30" s="80">
        <v>394.9</v>
      </c>
      <c r="O30" s="79"/>
      <c r="P30" s="81">
        <v>400.0</v>
      </c>
      <c r="Q30" s="81">
        <v>349.35870492784636</v>
      </c>
      <c r="R30" s="81">
        <v>341.1549607591945</v>
      </c>
      <c r="S30" s="72"/>
      <c r="T30" s="81"/>
      <c r="U30" s="79"/>
      <c r="V30" s="81">
        <v>500.0</v>
      </c>
      <c r="W30" s="81">
        <v>400.0</v>
      </c>
      <c r="X30" s="72"/>
      <c r="Y30" s="81">
        <v>300.0</v>
      </c>
      <c r="Z30" s="81">
        <v>340.0</v>
      </c>
      <c r="AA30" s="72"/>
      <c r="AB30" s="72" t="str">
        <f t="shared" si="1"/>
        <v>0</v>
      </c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</row>
    <row r="31" ht="15.0" customHeight="1">
      <c r="A31" s="72" t="str">
        <f>COUNTIFS(NIFTY!$B$7:$B$56,Summary!B31)</f>
        <v>1</v>
      </c>
      <c r="B31" s="73" t="str">
        <f>HYPERLINK("C:\Users\Natik\Desktop\_\All Stock Work\Max Pain Analysis\Stocks\BAJAJ-AUTO - BAJAJ AUTO LIMITED.xlsx","BAJAJ-AUTO")</f>
        <v>BAJAJ-AUTO</v>
      </c>
      <c r="C31" s="74" t="s">
        <v>90</v>
      </c>
      <c r="D31" s="75">
        <v>1937.15</v>
      </c>
      <c r="E31" s="76">
        <v>1917.0</v>
      </c>
      <c r="F31" s="76">
        <v>1989.0</v>
      </c>
      <c r="G31" s="76">
        <v>1866.6</v>
      </c>
      <c r="H31" s="76">
        <v>1946.75</v>
      </c>
      <c r="I31" s="77">
        <v>1925.0</v>
      </c>
      <c r="J31" s="78" t="s">
        <v>509</v>
      </c>
      <c r="K31" s="79"/>
      <c r="L31" s="75">
        <v>1930.0</v>
      </c>
      <c r="M31" s="76">
        <v>1950.0</v>
      </c>
      <c r="N31" s="80">
        <v>1945.05</v>
      </c>
      <c r="O31" s="79"/>
      <c r="P31" s="81">
        <v>2350.0</v>
      </c>
      <c r="Q31" s="81">
        <v>2351.8105399288715</v>
      </c>
      <c r="R31" s="81">
        <v>2238.361553160532</v>
      </c>
      <c r="S31" s="72"/>
      <c r="T31" s="81"/>
      <c r="U31" s="79"/>
      <c r="V31" s="81">
        <v>2800.0</v>
      </c>
      <c r="W31" s="81">
        <v>3200.0</v>
      </c>
      <c r="X31" s="72"/>
      <c r="Y31" s="81">
        <v>2350.0</v>
      </c>
      <c r="Z31" s="81">
        <v>2600.0</v>
      </c>
      <c r="AA31" s="72"/>
      <c r="AB31" s="72" t="str">
        <f t="shared" si="1"/>
        <v>1</v>
      </c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</row>
    <row r="32" ht="15.0" customHeight="1">
      <c r="A32" s="72" t="str">
        <f>COUNTIFS(NIFTY!$B$7:$B$56,Summary!B32)</f>
        <v>1</v>
      </c>
      <c r="B32" s="73" t="str">
        <f>HYPERLINK("C:\Users\Natik\Desktop\_\All Stock Work\Max Pain Analysis\Stocks\BAJAJFINSV - BAJAJ FINSERV LIMITED.xlsx","BAJAJFINSV")</f>
        <v>BAJAJFINSV</v>
      </c>
      <c r="C32" s="74" t="s">
        <v>94</v>
      </c>
      <c r="D32" s="75">
        <v>4497.75</v>
      </c>
      <c r="E32" s="76">
        <v>4450.0</v>
      </c>
      <c r="F32" s="76">
        <v>4920.0</v>
      </c>
      <c r="G32" s="76">
        <v>4400.05</v>
      </c>
      <c r="H32" s="76">
        <v>4830.3</v>
      </c>
      <c r="I32" s="77">
        <v>4902.0</v>
      </c>
      <c r="J32" s="78" t="s">
        <v>510</v>
      </c>
      <c r="K32" s="79"/>
      <c r="L32" s="75">
        <v>4896.05</v>
      </c>
      <c r="M32" s="76">
        <v>4930.0</v>
      </c>
      <c r="N32" s="80">
        <v>4920.0</v>
      </c>
      <c r="O32" s="79"/>
      <c r="P32" s="81">
        <v>6100.0</v>
      </c>
      <c r="Q32" s="81">
        <v>7820.554545686525</v>
      </c>
      <c r="R32" s="81">
        <v>7313.589599976417</v>
      </c>
      <c r="S32" s="72"/>
      <c r="T32" s="81"/>
      <c r="U32" s="79"/>
      <c r="V32" s="81">
        <v>9500.0</v>
      </c>
      <c r="W32" s="81">
        <v>10000.0</v>
      </c>
      <c r="X32" s="72"/>
      <c r="Y32" s="81">
        <v>8700.0</v>
      </c>
      <c r="Z32" s="81">
        <v>8500.0</v>
      </c>
      <c r="AA32" s="72"/>
      <c r="AB32" s="72" t="str">
        <f t="shared" si="1"/>
        <v>1</v>
      </c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</row>
    <row r="33" ht="15.0" customHeight="1">
      <c r="A33" s="72" t="str">
        <f>COUNTIFS(NIFTY!$B$7:$B$56,Summary!B33)</f>
        <v>1</v>
      </c>
      <c r="B33" s="73" t="str">
        <f>HYPERLINK("C:\Users\Natik\Desktop\_\All Stock Work\Max Pain Analysis\Stocks\BAJFINANCE - BAJAJ FINANCE LIMITED.xlsx","BAJFINANCE")</f>
        <v>BAJFINANCE</v>
      </c>
      <c r="C33" s="74" t="s">
        <v>97</v>
      </c>
      <c r="D33" s="75">
        <v>2474.2</v>
      </c>
      <c r="E33" s="76">
        <v>2450.0</v>
      </c>
      <c r="F33" s="76">
        <v>2700.0</v>
      </c>
      <c r="G33" s="76">
        <v>2400.0</v>
      </c>
      <c r="H33" s="76">
        <v>2585.6</v>
      </c>
      <c r="I33" s="77">
        <v>2600.45</v>
      </c>
      <c r="J33" s="78" t="s">
        <v>511</v>
      </c>
      <c r="K33" s="79"/>
      <c r="L33" s="75">
        <v>2616.95</v>
      </c>
      <c r="M33" s="76">
        <v>2629.0</v>
      </c>
      <c r="N33" s="80">
        <v>2630.0</v>
      </c>
      <c r="O33" s="79"/>
      <c r="P33" s="81">
        <v>3500.0</v>
      </c>
      <c r="Q33" s="81">
        <v>3210.8130151412615</v>
      </c>
      <c r="R33" s="81">
        <v>2872.539896747062</v>
      </c>
      <c r="S33" s="72"/>
      <c r="T33" s="81"/>
      <c r="U33" s="79"/>
      <c r="V33" s="81">
        <v>5500.0</v>
      </c>
      <c r="W33" s="81">
        <v>4300.0</v>
      </c>
      <c r="X33" s="72"/>
      <c r="Y33" s="81">
        <v>2300.0</v>
      </c>
      <c r="Z33" s="81">
        <v>2500.0</v>
      </c>
      <c r="AA33" s="72"/>
      <c r="AB33" s="72" t="str">
        <f t="shared" si="1"/>
        <v>1</v>
      </c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</row>
    <row r="34" ht="15.0" customHeight="1">
      <c r="A34" s="72" t="str">
        <f>COUNTIFS(NIFTY!$B$7:$B$56,Summary!B34)</f>
        <v>0</v>
      </c>
      <c r="B34" s="73" t="str">
        <f>HYPERLINK("C:\Users\Natik\Desktop\_\All Stock Work\Max Pain Analysis\Stocks\BALKRISIND - BALKRISHNA INDUSTRIES LIMITED.xlsx","BALKRISIND")</f>
        <v>BALKRISIND</v>
      </c>
      <c r="C34" s="74" t="s">
        <v>101</v>
      </c>
      <c r="D34" s="75">
        <v>747.1</v>
      </c>
      <c r="E34" s="76">
        <v>749.8</v>
      </c>
      <c r="F34" s="76">
        <v>859.15</v>
      </c>
      <c r="G34" s="76">
        <v>700.0</v>
      </c>
      <c r="H34" s="76">
        <v>852.0</v>
      </c>
      <c r="I34" s="77">
        <v>840.0</v>
      </c>
      <c r="J34" s="78" t="s">
        <v>512</v>
      </c>
      <c r="K34" s="79"/>
      <c r="L34" s="75">
        <v>722.5</v>
      </c>
      <c r="M34" s="76">
        <v>699.0</v>
      </c>
      <c r="N34" s="80">
        <v>765.0</v>
      </c>
      <c r="O34" s="79"/>
      <c r="P34" s="81">
        <v>980.0</v>
      </c>
      <c r="Q34" s="81">
        <v>1001.7377070405341</v>
      </c>
      <c r="R34" s="81">
        <v>966.3823636996262</v>
      </c>
      <c r="S34" s="72"/>
      <c r="T34" s="81"/>
      <c r="U34" s="79"/>
      <c r="V34" s="81">
        <v>1200.0</v>
      </c>
      <c r="W34" s="81">
        <v>1140.0</v>
      </c>
      <c r="X34" s="72"/>
      <c r="Y34" s="81">
        <v>1000.0</v>
      </c>
      <c r="Z34" s="81">
        <v>960.0</v>
      </c>
      <c r="AA34" s="72"/>
      <c r="AB34" s="72" t="str">
        <f t="shared" si="1"/>
        <v>1</v>
      </c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</row>
    <row r="35" ht="15.0" customHeight="1">
      <c r="A35" s="72" t="str">
        <f>COUNTIFS(NIFTY!$B$7:$B$56,Summary!B35)</f>
        <v>0</v>
      </c>
      <c r="B35" s="73" t="str">
        <f>HYPERLINK("C:\Users\Natik\Desktop\_\All Stock Work\Max Pain Analysis\Stocks\BATAINDIA - BATA INDIA LIMITED.xlsx","BATAINDIA")</f>
        <v>BATAINDIA</v>
      </c>
      <c r="C35" s="74" t="s">
        <v>104</v>
      </c>
      <c r="D35" s="75">
        <v>1061.4</v>
      </c>
      <c r="E35" s="76">
        <v>1100.0</v>
      </c>
      <c r="F35" s="76">
        <v>1129.6</v>
      </c>
      <c r="G35" s="76">
        <v>1052.55</v>
      </c>
      <c r="H35" s="76">
        <v>1079.9</v>
      </c>
      <c r="I35" s="77">
        <v>1085.0</v>
      </c>
      <c r="J35" s="78" t="s">
        <v>513</v>
      </c>
      <c r="K35" s="79"/>
      <c r="L35" s="75">
        <v>1092.0</v>
      </c>
      <c r="M35" s="76">
        <v>1091.7</v>
      </c>
      <c r="N35" s="80">
        <v>1150.0</v>
      </c>
      <c r="O35" s="79"/>
      <c r="P35" s="81">
        <v>1360.0</v>
      </c>
      <c r="Q35" s="81">
        <v>1499.7119127629462</v>
      </c>
      <c r="R35" s="81">
        <v>1430.3896184002942</v>
      </c>
      <c r="S35" s="72"/>
      <c r="T35" s="81"/>
      <c r="U35" s="79"/>
      <c r="V35" s="81">
        <v>1600.0</v>
      </c>
      <c r="W35" s="81">
        <v>1800.0</v>
      </c>
      <c r="X35" s="72"/>
      <c r="Y35" s="81">
        <v>1600.0</v>
      </c>
      <c r="Z35" s="81">
        <v>1760.0</v>
      </c>
      <c r="AA35" s="72"/>
      <c r="AB35" s="72" t="str">
        <f t="shared" si="1"/>
        <v>1</v>
      </c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</row>
    <row r="36" ht="15.0" customHeight="1">
      <c r="A36" s="72" t="str">
        <f>COUNTIFS(NIFTY!$B$7:$B$56,Summary!B36)</f>
        <v>0</v>
      </c>
      <c r="B36" s="73" t="str">
        <f>HYPERLINK("C:\Users\Natik\Desktop\_\All Stock Work\Max Pain Analysis\Stocks\BEL - BHARAT ELECTRONICS LIMITED.xlsx","BEL")</f>
        <v>BEL</v>
      </c>
      <c r="C36" s="74" t="s">
        <v>108</v>
      </c>
      <c r="D36" s="75">
        <v>59.45</v>
      </c>
      <c r="E36" s="76">
        <v>62.0</v>
      </c>
      <c r="F36" s="76">
        <v>63.5</v>
      </c>
      <c r="G36" s="76">
        <v>56.0</v>
      </c>
      <c r="H36" s="76">
        <v>58.45</v>
      </c>
      <c r="I36" s="77">
        <v>58.8</v>
      </c>
      <c r="J36" s="78" t="s">
        <v>514</v>
      </c>
      <c r="K36" s="79"/>
      <c r="L36" s="75">
        <v>59.05</v>
      </c>
      <c r="M36" s="76">
        <v>58.85</v>
      </c>
      <c r="N36" s="80">
        <v>66.1</v>
      </c>
      <c r="O36" s="79"/>
      <c r="P36" s="81">
        <v>70.0</v>
      </c>
      <c r="Q36" s="81">
        <v>68.7869975348259</v>
      </c>
      <c r="R36" s="81">
        <v>65.93415484350652</v>
      </c>
      <c r="S36" s="72"/>
      <c r="T36" s="81"/>
      <c r="U36" s="79"/>
      <c r="V36" s="81">
        <v>70.0</v>
      </c>
      <c r="W36" s="81">
        <v>80.0</v>
      </c>
      <c r="X36" s="72"/>
      <c r="Y36" s="81">
        <v>60.0</v>
      </c>
      <c r="Z36" s="81">
        <v>65.0</v>
      </c>
      <c r="AA36" s="72"/>
      <c r="AB36" s="72" t="str">
        <f t="shared" si="1"/>
        <v>1</v>
      </c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</row>
    <row r="37" ht="15.0" customHeight="1">
      <c r="A37" s="72" t="str">
        <f>COUNTIFS(NIFTY!$B$7:$B$56,Summary!B37)</f>
        <v>0</v>
      </c>
      <c r="B37" s="73" t="str">
        <f>HYPERLINK("C:\Users\Natik\Desktop\_\All Stock Work\Max Pain Analysis\Stocks\BERGEPAINT - BERGER PAINTS (I) LIMITED.xlsx","BERGEPAINT")</f>
        <v>BERGEPAINT</v>
      </c>
      <c r="C37" s="74" t="s">
        <v>111</v>
      </c>
      <c r="D37" s="75">
        <v>413.45</v>
      </c>
      <c r="E37" s="76">
        <v>409.35</v>
      </c>
      <c r="F37" s="76">
        <v>443.5</v>
      </c>
      <c r="G37" s="76">
        <v>395.0</v>
      </c>
      <c r="H37" s="76">
        <v>424.9</v>
      </c>
      <c r="I37" s="77">
        <v>424.2</v>
      </c>
      <c r="J37" s="78" t="s">
        <v>515</v>
      </c>
      <c r="K37" s="79"/>
      <c r="L37" s="75">
        <v>422.5</v>
      </c>
      <c r="M37" s="76">
        <v>426.0</v>
      </c>
      <c r="N37" s="80">
        <v>408.3</v>
      </c>
      <c r="O37" s="79"/>
      <c r="P37" s="81">
        <v>510.0</v>
      </c>
      <c r="Q37" s="81">
        <v>474.48845571536714</v>
      </c>
      <c r="R37" s="81">
        <v>456.4016820184221</v>
      </c>
      <c r="S37" s="72"/>
      <c r="T37" s="81"/>
      <c r="U37" s="79"/>
      <c r="V37" s="81">
        <v>600.0</v>
      </c>
      <c r="W37" s="81">
        <v>550.0</v>
      </c>
      <c r="X37" s="72"/>
      <c r="Y37" s="81">
        <v>560.0</v>
      </c>
      <c r="Z37" s="81">
        <v>400.0</v>
      </c>
      <c r="AA37" s="72"/>
      <c r="AB37" s="72" t="str">
        <f t="shared" si="1"/>
        <v>1</v>
      </c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</row>
    <row r="38" ht="15.0" customHeight="1">
      <c r="A38" s="72" t="str">
        <f>COUNTIFS(NIFTY!$B$7:$B$56,Summary!B38)</f>
        <v>0</v>
      </c>
      <c r="B38" s="73" t="str">
        <f>HYPERLINK("C:\Users\Natik\Desktop\_\All Stock Work\Max Pain Analysis\Stocks\BHARATFORG - BHARAT FORGE LIMITED.xlsx","BHARATFORG")</f>
        <v>BHARATFORG</v>
      </c>
      <c r="C38" s="74" t="s">
        <v>115</v>
      </c>
      <c r="D38" s="75">
        <v>245.75</v>
      </c>
      <c r="E38" s="76">
        <v>243.3</v>
      </c>
      <c r="F38" s="76">
        <v>267.0</v>
      </c>
      <c r="G38" s="76">
        <v>234.2</v>
      </c>
      <c r="H38" s="76">
        <v>245.15</v>
      </c>
      <c r="I38" s="77">
        <v>244.0</v>
      </c>
      <c r="J38" s="78" t="s">
        <v>516</v>
      </c>
      <c r="K38" s="79"/>
      <c r="L38" s="75">
        <v>247.85</v>
      </c>
      <c r="M38" s="76">
        <v>246.5</v>
      </c>
      <c r="N38" s="80">
        <v>308.95</v>
      </c>
      <c r="O38" s="79"/>
      <c r="P38" s="81">
        <v>360.0</v>
      </c>
      <c r="Q38" s="81">
        <v>372.32309560024004</v>
      </c>
      <c r="R38" s="81">
        <v>362.4799956527055</v>
      </c>
      <c r="S38" s="72"/>
      <c r="T38" s="81"/>
      <c r="U38" s="79"/>
      <c r="V38" s="81">
        <v>440.0</v>
      </c>
      <c r="W38" s="81">
        <v>420.0</v>
      </c>
      <c r="X38" s="72"/>
      <c r="Y38" s="81">
        <v>400.0</v>
      </c>
      <c r="Z38" s="81">
        <v>390.0</v>
      </c>
      <c r="AA38" s="72"/>
      <c r="AB38" s="72" t="str">
        <f t="shared" si="1"/>
        <v>1</v>
      </c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</row>
    <row r="39" ht="15.0" customHeight="1">
      <c r="A39" s="72" t="str">
        <f>COUNTIFS(NIFTY!$B$7:$B$56,Summary!B39)</f>
        <v>1</v>
      </c>
      <c r="B39" s="73" t="str">
        <f>HYPERLINK("C:\Users\Natik\Desktop\_\All Stock Work\Max Pain Analysis\Stocks\BHARTIARTL - BHARTI AIRTEL LIMITED.xlsx","BHARTIARTL")</f>
        <v>BHARTIARTL</v>
      </c>
      <c r="C39" s="74" t="s">
        <v>118</v>
      </c>
      <c r="D39" s="75">
        <v>407.35</v>
      </c>
      <c r="E39" s="76">
        <v>410.9</v>
      </c>
      <c r="F39" s="76">
        <v>437.85</v>
      </c>
      <c r="G39" s="76">
        <v>400.15</v>
      </c>
      <c r="H39" s="76">
        <v>404.05</v>
      </c>
      <c r="I39" s="77">
        <v>411.55</v>
      </c>
      <c r="J39" s="78" t="s">
        <v>517</v>
      </c>
      <c r="K39" s="79"/>
      <c r="L39" s="75">
        <v>442.95</v>
      </c>
      <c r="M39" s="76">
        <v>445.0</v>
      </c>
      <c r="N39" s="80">
        <v>450.0</v>
      </c>
      <c r="O39" s="79"/>
      <c r="P39" s="81">
        <v>470.0</v>
      </c>
      <c r="Q39" s="81">
        <v>439.6646461336828</v>
      </c>
      <c r="R39" s="81">
        <v>420.5326167008791</v>
      </c>
      <c r="S39" s="72"/>
      <c r="T39" s="81"/>
      <c r="U39" s="79"/>
      <c r="V39" s="81">
        <v>540.0</v>
      </c>
      <c r="W39" s="81">
        <v>500.0</v>
      </c>
      <c r="X39" s="72"/>
      <c r="Y39" s="81">
        <v>400.0</v>
      </c>
      <c r="Z39" s="81">
        <v>460.0</v>
      </c>
      <c r="AA39" s="72"/>
      <c r="AB39" s="72" t="str">
        <f t="shared" si="1"/>
        <v>1</v>
      </c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</row>
    <row r="40" ht="15.0" customHeight="1">
      <c r="A40" s="72" t="str">
        <f>COUNTIFS(NIFTY!$B$7:$B$56,Summary!B40)</f>
        <v>0</v>
      </c>
      <c r="B40" s="73" t="str">
        <f>HYPERLINK("C:\Users\Natik\Desktop\_\All Stock Work\Max Pain Analysis\Stocks\BHEL - BHARAT HEAVY ELECTRICALS LIMITED.xlsx","BHEL")</f>
        <v>BHEL</v>
      </c>
      <c r="C40" s="74" t="s">
        <v>121</v>
      </c>
      <c r="D40" s="75">
        <v>20.0</v>
      </c>
      <c r="E40" s="76">
        <v>20.0</v>
      </c>
      <c r="F40" s="76">
        <v>20.2</v>
      </c>
      <c r="G40" s="76">
        <v>19.15</v>
      </c>
      <c r="H40" s="76">
        <v>19.85</v>
      </c>
      <c r="I40" s="77">
        <v>19.9</v>
      </c>
      <c r="J40" s="78" t="s">
        <v>518</v>
      </c>
      <c r="K40" s="79"/>
      <c r="L40" s="75">
        <v>20.0</v>
      </c>
      <c r="M40" s="76">
        <v>20.1</v>
      </c>
      <c r="N40" s="80">
        <v>20.3</v>
      </c>
      <c r="O40" s="79"/>
      <c r="P40" s="81">
        <v>27.0</v>
      </c>
      <c r="Q40" s="81">
        <v>25.351197306625103</v>
      </c>
      <c r="R40" s="81">
        <v>23.892030830666318</v>
      </c>
      <c r="S40" s="72"/>
      <c r="T40" s="81"/>
      <c r="U40" s="79"/>
      <c r="V40" s="81">
        <v>25.0</v>
      </c>
      <c r="W40" s="81">
        <v>40.0</v>
      </c>
      <c r="X40" s="72"/>
      <c r="Y40" s="81">
        <v>20.0</v>
      </c>
      <c r="Z40" s="81">
        <v>30.0</v>
      </c>
      <c r="AA40" s="72"/>
      <c r="AB40" s="72" t="str">
        <f t="shared" si="1"/>
        <v>1</v>
      </c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</row>
    <row r="41" ht="15.0" customHeight="1">
      <c r="A41" s="72" t="str">
        <f>COUNTIFS(NIFTY!$B$7:$B$56,Summary!B41)</f>
        <v>0</v>
      </c>
      <c r="B41" s="73" t="str">
        <f>HYPERLINK("C:\Users\Natik\Desktop\_\All Stock Work\Max Pain Analysis\Stocks\BIOCON - BIOCON LIMITED.xlsx","BIOCON")</f>
        <v>BIOCON</v>
      </c>
      <c r="C41" s="74" t="s">
        <v>124</v>
      </c>
      <c r="D41" s="75">
        <v>271.0</v>
      </c>
      <c r="E41" s="76">
        <v>267.95</v>
      </c>
      <c r="F41" s="76">
        <v>286.0</v>
      </c>
      <c r="G41" s="76">
        <v>265.05</v>
      </c>
      <c r="H41" s="76">
        <v>271.65</v>
      </c>
      <c r="I41" s="77">
        <v>271.55</v>
      </c>
      <c r="J41" s="78" t="s">
        <v>519</v>
      </c>
      <c r="K41" s="79"/>
      <c r="L41" s="75">
        <v>272.05</v>
      </c>
      <c r="M41" s="76">
        <v>275.05</v>
      </c>
      <c r="N41" s="80">
        <v>278.25</v>
      </c>
      <c r="O41" s="79"/>
      <c r="P41" s="81">
        <v>280.0</v>
      </c>
      <c r="Q41" s="81">
        <v>271.42313538553805</v>
      </c>
      <c r="R41" s="81">
        <v>252.37782072360514</v>
      </c>
      <c r="S41" s="72"/>
      <c r="T41" s="81"/>
      <c r="U41" s="79"/>
      <c r="V41" s="81">
        <v>300.0</v>
      </c>
      <c r="W41" s="81">
        <v>310.0</v>
      </c>
      <c r="X41" s="72"/>
      <c r="Y41" s="81">
        <v>280.0</v>
      </c>
      <c r="Z41" s="81">
        <v>290.0</v>
      </c>
      <c r="AA41" s="72"/>
      <c r="AB41" s="72" t="str">
        <f t="shared" si="1"/>
        <v>0</v>
      </c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</row>
    <row r="42" ht="15.0" customHeight="1">
      <c r="A42" s="72" t="str">
        <f>COUNTIFS(NIFTY!$B$7:$B$56,Summary!B42)</f>
        <v>0</v>
      </c>
      <c r="B42" s="73" t="str">
        <f>HYPERLINK("C:\Users\Natik\Desktop\_\All Stock Work\Max Pain Analysis\Stocks\BOSCHLTD - BOSCH LIMITED.xlsx","BOSCHLTD")</f>
        <v>BOSCHLTD</v>
      </c>
      <c r="C42" s="74" t="s">
        <v>127</v>
      </c>
      <c r="D42" s="75">
        <v>8357.45</v>
      </c>
      <c r="E42" s="76">
        <v>8160.0</v>
      </c>
      <c r="F42" s="76">
        <v>9600.0</v>
      </c>
      <c r="G42" s="76">
        <v>8060.0</v>
      </c>
      <c r="H42" s="76">
        <v>9212.1</v>
      </c>
      <c r="I42" s="77">
        <v>8950.0</v>
      </c>
      <c r="J42" s="78">
        <v>25034.0</v>
      </c>
      <c r="K42" s="79"/>
      <c r="L42" s="75">
        <v>9091.75</v>
      </c>
      <c r="M42" s="76">
        <v>9158.35</v>
      </c>
      <c r="N42" s="80">
        <v>10261.9</v>
      </c>
      <c r="O42" s="79"/>
      <c r="P42" s="81">
        <v>13000.0</v>
      </c>
      <c r="Q42" s="81">
        <v>12832.151300236406</v>
      </c>
      <c r="R42" s="81">
        <v>12535.79676674365</v>
      </c>
      <c r="S42" s="72"/>
      <c r="T42" s="81"/>
      <c r="U42" s="79"/>
      <c r="V42" s="81">
        <v>13500.0</v>
      </c>
      <c r="W42" s="81">
        <v>13000.0</v>
      </c>
      <c r="X42" s="72"/>
      <c r="Y42" s="81">
        <v>12000.0</v>
      </c>
      <c r="Z42" s="81">
        <v>13500.0</v>
      </c>
      <c r="AA42" s="72"/>
      <c r="AB42" s="72" t="str">
        <f t="shared" si="1"/>
        <v>1</v>
      </c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</row>
    <row r="43" ht="15.0" customHeight="1">
      <c r="A43" s="72" t="str">
        <f>COUNTIFS(NIFTY!$B$7:$B$56,Summary!B43)</f>
        <v>1</v>
      </c>
      <c r="B43" s="73" t="str">
        <f>HYPERLINK("C:\Users\Natik\Desktop\_\All Stock Work\Max Pain Analysis\Stocks\BPCL - BHARAT PETROLEUM CORPORATION LIMITED.xlsx","BPCL")</f>
        <v>BPCL</v>
      </c>
      <c r="C43" s="74" t="s">
        <v>130</v>
      </c>
      <c r="D43" s="75">
        <v>262.85</v>
      </c>
      <c r="E43" s="76">
        <v>252.6</v>
      </c>
      <c r="F43" s="76">
        <v>276.95</v>
      </c>
      <c r="G43" s="76">
        <v>252.6</v>
      </c>
      <c r="H43" s="76">
        <v>273.75</v>
      </c>
      <c r="I43" s="77">
        <v>272.85</v>
      </c>
      <c r="J43" s="78" t="s">
        <v>520</v>
      </c>
      <c r="K43" s="79"/>
      <c r="L43" s="75">
        <v>270.4</v>
      </c>
      <c r="M43" s="76">
        <v>274.45</v>
      </c>
      <c r="N43" s="80">
        <v>275.35</v>
      </c>
      <c r="O43" s="79"/>
      <c r="P43" s="81">
        <v>400.0</v>
      </c>
      <c r="Q43" s="81">
        <v>341.933565267121</v>
      </c>
      <c r="R43" s="81">
        <v>322.68009894310774</v>
      </c>
      <c r="S43" s="72"/>
      <c r="T43" s="81"/>
      <c r="U43" s="79"/>
      <c r="V43" s="81">
        <v>500.0</v>
      </c>
      <c r="W43" s="81">
        <v>540.0</v>
      </c>
      <c r="X43" s="72"/>
      <c r="Y43" s="81">
        <v>380.0</v>
      </c>
      <c r="Z43" s="81">
        <v>480.0</v>
      </c>
      <c r="AA43" s="72"/>
      <c r="AB43" s="72" t="str">
        <f t="shared" si="1"/>
        <v>1</v>
      </c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</row>
    <row r="44" ht="15.0" customHeight="1">
      <c r="A44" s="72" t="str">
        <f>COUNTIFS(NIFTY!$B$7:$B$56,Summary!B44)</f>
        <v>1</v>
      </c>
      <c r="B44" s="73" t="str">
        <f>HYPERLINK("C:\Users\Natik\Desktop\_\All Stock Work\Max Pain Analysis\Stocks\BRITANNIA - BRITANNIA INDUSTRIES LIMITED.xlsx","BRITANNIA")</f>
        <v>BRITANNIA</v>
      </c>
      <c r="C44" s="74" t="s">
        <v>133</v>
      </c>
      <c r="D44" s="75">
        <v>2364.7</v>
      </c>
      <c r="E44" s="76">
        <v>2364.6</v>
      </c>
      <c r="F44" s="76">
        <v>2511.6</v>
      </c>
      <c r="G44" s="76">
        <v>2317.1</v>
      </c>
      <c r="H44" s="76">
        <v>2451.4</v>
      </c>
      <c r="I44" s="77">
        <v>2436.2</v>
      </c>
      <c r="J44" s="78" t="s">
        <v>521</v>
      </c>
      <c r="K44" s="79"/>
      <c r="L44" s="75">
        <v>2449.1</v>
      </c>
      <c r="M44" s="76">
        <v>2460.0</v>
      </c>
      <c r="N44" s="80">
        <v>2400.0</v>
      </c>
      <c r="O44" s="79"/>
      <c r="P44" s="81">
        <v>2900.0</v>
      </c>
      <c r="Q44" s="81">
        <v>2652.8258806023755</v>
      </c>
      <c r="R44" s="81">
        <v>2534.734648854026</v>
      </c>
      <c r="S44" s="72"/>
      <c r="T44" s="81"/>
      <c r="U44" s="79"/>
      <c r="V44" s="81">
        <v>3300.0</v>
      </c>
      <c r="W44" s="81">
        <v>3400.0</v>
      </c>
      <c r="X44" s="72"/>
      <c r="Y44" s="81">
        <v>3000.0</v>
      </c>
      <c r="Z44" s="81">
        <v>2800.0</v>
      </c>
      <c r="AA44" s="72"/>
      <c r="AB44" s="72" t="str">
        <f t="shared" si="1"/>
        <v>1</v>
      </c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</row>
    <row r="45" ht="15.0" customHeight="1">
      <c r="A45" s="72" t="str">
        <f>COUNTIFS(NIFTY!$B$7:$B$56,Summary!B45)</f>
        <v>0</v>
      </c>
      <c r="B45" s="73" t="str">
        <f>HYPERLINK("C:\Users\Natik\Desktop\_\All Stock Work\Max Pain Analysis\Stocks\CADILAHC - CADILA HEALTHCARE LIMITED.xlsx","CADILAHC")</f>
        <v>CADILAHC</v>
      </c>
      <c r="C45" s="74" t="s">
        <v>137</v>
      </c>
      <c r="D45" s="75">
        <v>278.45</v>
      </c>
      <c r="E45" s="76">
        <v>270.0</v>
      </c>
      <c r="F45" s="76">
        <v>281.0</v>
      </c>
      <c r="G45" s="76">
        <v>257.15</v>
      </c>
      <c r="H45" s="76">
        <v>263.7</v>
      </c>
      <c r="I45" s="77">
        <v>263.55</v>
      </c>
      <c r="J45" s="78" t="s">
        <v>522</v>
      </c>
      <c r="K45" s="79"/>
      <c r="L45" s="75">
        <v>265.9</v>
      </c>
      <c r="M45" s="76">
        <v>266.55</v>
      </c>
      <c r="N45" s="80">
        <v>265.7</v>
      </c>
      <c r="O45" s="79"/>
      <c r="P45" s="81">
        <v>275.0</v>
      </c>
      <c r="Q45" s="81">
        <v>253.95267184025246</v>
      </c>
      <c r="R45" s="81">
        <v>251.5341412812006</v>
      </c>
      <c r="S45" s="72"/>
      <c r="T45" s="81"/>
      <c r="U45" s="79"/>
      <c r="V45" s="81">
        <v>290.0</v>
      </c>
      <c r="W45" s="81">
        <v>300.0</v>
      </c>
      <c r="X45" s="72"/>
      <c r="Y45" s="81">
        <v>260.0</v>
      </c>
      <c r="Z45" s="81">
        <v>245.0</v>
      </c>
      <c r="AA45" s="72"/>
      <c r="AB45" s="72" t="str">
        <f t="shared" si="1"/>
        <v>0</v>
      </c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</row>
    <row r="46" ht="15.0" customHeight="1">
      <c r="A46" s="72" t="str">
        <f>COUNTIFS(NIFTY!$B$7:$B$56,Summary!B46)</f>
        <v>0</v>
      </c>
      <c r="B46" s="73" t="str">
        <f>HYPERLINK("C:\Users\Natik\Desktop\_\All Stock Work\Max Pain Analysis\Stocks\CASTROLIND - CASTROL INDIA LIMITED.xlsx","CASTROLIND")</f>
        <v>CASTROLIND</v>
      </c>
      <c r="C46" s="74" t="s">
        <v>140</v>
      </c>
      <c r="D46" s="75">
        <v>90.1</v>
      </c>
      <c r="E46" s="76">
        <v>90.65</v>
      </c>
      <c r="F46" s="76">
        <v>104.65</v>
      </c>
      <c r="G46" s="76">
        <v>90.25</v>
      </c>
      <c r="H46" s="76">
        <v>102.7</v>
      </c>
      <c r="I46" s="77">
        <v>102.6</v>
      </c>
      <c r="J46" s="78" t="s">
        <v>523</v>
      </c>
      <c r="K46" s="79"/>
      <c r="L46" s="75" t="s">
        <v>6</v>
      </c>
      <c r="M46" s="76"/>
      <c r="N46" s="80"/>
      <c r="O46" s="79"/>
      <c r="P46" s="81">
        <v>130.0</v>
      </c>
      <c r="Q46" s="81">
        <v>119.92659629205464</v>
      </c>
      <c r="R46" s="81">
        <v>118.47148666152913</v>
      </c>
      <c r="S46" s="72"/>
      <c r="T46" s="81"/>
      <c r="U46" s="79"/>
      <c r="V46" s="81">
        <v>135.0</v>
      </c>
      <c r="W46" s="81">
        <v>140.0</v>
      </c>
      <c r="X46" s="72"/>
      <c r="Y46" s="81">
        <v>125.0</v>
      </c>
      <c r="Z46" s="81">
        <v>130.0</v>
      </c>
      <c r="AA46" s="72"/>
      <c r="AB46" s="72" t="str">
        <f t="shared" si="1"/>
        <v>1</v>
      </c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</row>
    <row r="47" ht="15.0" customHeight="1">
      <c r="A47" s="72" t="str">
        <f>COUNTIFS(NIFTY!$B$7:$B$56,Summary!B47)</f>
        <v>0</v>
      </c>
      <c r="B47" s="73" t="str">
        <f>HYPERLINK("C:\Users\Natik\Desktop\_\All Stock Work\Max Pain Analysis\Stocks\CENTURYTEX - CENTURY TEXTILES &amp; INDUSTRIES LIMITED.xlsx","CENTURYTEX")</f>
        <v>CENTURYTEX</v>
      </c>
      <c r="C47" s="74" t="s">
        <v>143</v>
      </c>
      <c r="D47" s="75">
        <v>506.75</v>
      </c>
      <c r="E47" s="76">
        <v>519.0</v>
      </c>
      <c r="F47" s="76">
        <v>541.75</v>
      </c>
      <c r="G47" s="76">
        <v>492.8</v>
      </c>
      <c r="H47" s="76" t="s">
        <v>524</v>
      </c>
      <c r="I47" s="77">
        <v>494.0</v>
      </c>
      <c r="J47" s="78" t="s">
        <v>525</v>
      </c>
      <c r="K47" s="79"/>
      <c r="L47" s="75" t="s">
        <v>6</v>
      </c>
      <c r="M47" s="76">
        <v>494.5</v>
      </c>
      <c r="N47" s="80">
        <v>608.0</v>
      </c>
      <c r="O47" s="79"/>
      <c r="P47" s="81">
        <v>600.0</v>
      </c>
      <c r="Q47" s="81">
        <v>533.3366508688783</v>
      </c>
      <c r="R47" s="81">
        <v>529.2730379707145</v>
      </c>
      <c r="S47" s="72"/>
      <c r="T47" s="81"/>
      <c r="U47" s="79"/>
      <c r="V47" s="81">
        <v>620.0</v>
      </c>
      <c r="W47" s="81">
        <v>640.0</v>
      </c>
      <c r="X47" s="72"/>
      <c r="Y47" s="81">
        <v>560.0</v>
      </c>
      <c r="Z47" s="81">
        <v>580.0</v>
      </c>
      <c r="AA47" s="72"/>
      <c r="AB47" s="72" t="str">
        <f t="shared" si="1"/>
        <v>1</v>
      </c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</row>
    <row r="48" ht="15.0" customHeight="1">
      <c r="A48" s="72" t="str">
        <f>COUNTIFS(NIFTY!$B$7:$B$56,Summary!B48)</f>
        <v>0</v>
      </c>
      <c r="B48" s="73" t="str">
        <f>HYPERLINK("C:\Users\Natik\Desktop\_\All Stock Work\Max Pain Analysis\Stocks\CESC - CESC LIMITED.xlsx","CESC")</f>
        <v>CESC</v>
      </c>
      <c r="C48" s="74" t="s">
        <v>146</v>
      </c>
      <c r="D48" s="75">
        <v>646.95</v>
      </c>
      <c r="E48" s="76">
        <v>650.0</v>
      </c>
      <c r="F48" s="76">
        <v>658.35</v>
      </c>
      <c r="G48" s="76">
        <v>632.85</v>
      </c>
      <c r="H48" s="76" t="s">
        <v>524</v>
      </c>
      <c r="I48" s="77">
        <v>650.0</v>
      </c>
      <c r="J48" s="78" t="s">
        <v>526</v>
      </c>
      <c r="K48" s="79"/>
      <c r="L48" s="75" t="s">
        <v>6</v>
      </c>
      <c r="M48" s="76">
        <v>637.5</v>
      </c>
      <c r="N48" s="80">
        <v>736.9</v>
      </c>
      <c r="O48" s="79"/>
      <c r="P48" s="81">
        <v>710.0</v>
      </c>
      <c r="Q48" s="81">
        <v>667.2819770491116</v>
      </c>
      <c r="R48" s="81">
        <v>664.5633279010489</v>
      </c>
      <c r="S48" s="72"/>
      <c r="T48" s="81"/>
      <c r="U48" s="79"/>
      <c r="V48" s="81">
        <v>740.0</v>
      </c>
      <c r="W48" s="81">
        <v>720.0</v>
      </c>
      <c r="X48" s="72"/>
      <c r="Y48" s="81">
        <v>700.0</v>
      </c>
      <c r="Z48" s="81">
        <v>660.0</v>
      </c>
      <c r="AA48" s="72"/>
      <c r="AB48" s="72" t="str">
        <f t="shared" si="1"/>
        <v>1</v>
      </c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</row>
    <row r="49" ht="15.0" customHeight="1">
      <c r="A49" s="72" t="str">
        <f>COUNTIFS(NIFTY!$B$7:$B$56,Summary!B49)</f>
        <v>0</v>
      </c>
      <c r="B49" s="73" t="str">
        <f>HYPERLINK("C:\Users\Natik\Desktop\_\All Stock Work\Max Pain Analysis\Stocks\CHOLAFIN - CHOLAMANDALAM INVESTMENT AND FINANCE COMPANY LIMITED.xlsx","CHOLAFIN")</f>
        <v>CHOLAFIN</v>
      </c>
      <c r="C49" s="74" t="s">
        <v>149</v>
      </c>
      <c r="D49" s="75">
        <v>306.5</v>
      </c>
      <c r="E49" s="76">
        <v>309.0</v>
      </c>
      <c r="F49" s="76">
        <v>317.0</v>
      </c>
      <c r="G49" s="76">
        <v>299.55</v>
      </c>
      <c r="H49" s="76" t="s">
        <v>524</v>
      </c>
      <c r="I49" s="77">
        <v>303.05</v>
      </c>
      <c r="J49" s="78" t="s">
        <v>527</v>
      </c>
      <c r="K49" s="79"/>
      <c r="L49" s="75" t="s">
        <v>6</v>
      </c>
      <c r="M49" s="76">
        <v>328.45</v>
      </c>
      <c r="N49" s="80">
        <v>331.95</v>
      </c>
      <c r="O49" s="79"/>
      <c r="P49" s="81">
        <v>330.0</v>
      </c>
      <c r="Q49" s="81">
        <v>304.70384907006826</v>
      </c>
      <c r="R49" s="81">
        <v>299.86239740157134</v>
      </c>
      <c r="S49" s="72"/>
      <c r="T49" s="81"/>
      <c r="U49" s="79"/>
      <c r="V49" s="81">
        <v>350.0</v>
      </c>
      <c r="W49" s="81">
        <v>340.0</v>
      </c>
      <c r="X49" s="72"/>
      <c r="Y49" s="81">
        <v>320.0</v>
      </c>
      <c r="Z49" s="81">
        <v>330.0</v>
      </c>
      <c r="AA49" s="72"/>
      <c r="AB49" s="72" t="str">
        <f t="shared" si="1"/>
        <v>1</v>
      </c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</row>
    <row r="50" ht="15.0" customHeight="1">
      <c r="A50" s="72" t="str">
        <f>COUNTIFS(NIFTY!$B$7:$B$56,Summary!B50)</f>
        <v>1</v>
      </c>
      <c r="B50" s="73" t="str">
        <f>HYPERLINK("C:\Users\Natik\Desktop\_\All Stock Work\Max Pain Analysis\Stocks\CIPLA - CIPLA LIMITED.xlsx","CIPLA")</f>
        <v>CIPLA</v>
      </c>
      <c r="C50" s="74" t="s">
        <v>153</v>
      </c>
      <c r="D50" s="75">
        <v>402.1</v>
      </c>
      <c r="E50" s="76">
        <v>407.0</v>
      </c>
      <c r="F50" s="76">
        <v>411.25</v>
      </c>
      <c r="G50" s="76">
        <v>394.65</v>
      </c>
      <c r="H50" s="76" t="s">
        <v>524</v>
      </c>
      <c r="I50" s="77">
        <v>405.0</v>
      </c>
      <c r="J50" s="78" t="s">
        <v>528</v>
      </c>
      <c r="K50" s="79"/>
      <c r="L50" s="75" t="s">
        <v>6</v>
      </c>
      <c r="M50" s="76">
        <v>401.5</v>
      </c>
      <c r="N50" s="80">
        <v>400.0</v>
      </c>
      <c r="O50" s="79"/>
      <c r="P50" s="81">
        <v>450.0</v>
      </c>
      <c r="Q50" s="81">
        <v>431.61805426654223</v>
      </c>
      <c r="R50" s="81">
        <v>408.1805306074356</v>
      </c>
      <c r="S50" s="72"/>
      <c r="T50" s="81"/>
      <c r="U50" s="79"/>
      <c r="V50" s="81">
        <v>460.0</v>
      </c>
      <c r="W50" s="81">
        <v>500.0</v>
      </c>
      <c r="X50" s="72"/>
      <c r="Y50" s="81">
        <v>440.0</v>
      </c>
      <c r="Z50" s="81">
        <v>400.0</v>
      </c>
      <c r="AA50" s="72"/>
      <c r="AB50" s="72" t="str">
        <f t="shared" si="1"/>
        <v>1</v>
      </c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</row>
    <row r="51" ht="15.0" customHeight="1">
      <c r="A51" s="72" t="str">
        <f>COUNTIFS(NIFTY!$B$7:$B$56,Summary!B51)</f>
        <v>1</v>
      </c>
      <c r="B51" s="73" t="str">
        <f>HYPERLINK("C:\Users\Natik\Desktop\_\All Stock Work\Max Pain Analysis\Stocks\COALINDIA - COAL INDIA LIMITED.xlsx","COALINDIA")</f>
        <v>COALINDIA</v>
      </c>
      <c r="C51" s="74" t="s">
        <v>156</v>
      </c>
      <c r="D51" s="75">
        <v>168.4</v>
      </c>
      <c r="E51" s="76">
        <v>172.65</v>
      </c>
      <c r="F51" s="76">
        <v>175.0</v>
      </c>
      <c r="G51" s="76">
        <v>168.3</v>
      </c>
      <c r="H51" s="76" t="s">
        <v>524</v>
      </c>
      <c r="I51" s="77">
        <v>169.4</v>
      </c>
      <c r="J51" s="78" t="s">
        <v>529</v>
      </c>
      <c r="K51" s="79"/>
      <c r="L51" s="75" t="s">
        <v>6</v>
      </c>
      <c r="M51" s="76">
        <v>165.55</v>
      </c>
      <c r="N51" s="80">
        <v>165.75</v>
      </c>
      <c r="O51" s="79"/>
      <c r="P51" s="81">
        <v>180.0</v>
      </c>
      <c r="Q51" s="81">
        <v>174.94249170800435</v>
      </c>
      <c r="R51" s="81">
        <v>171.41620541935038</v>
      </c>
      <c r="S51" s="72"/>
      <c r="T51" s="81"/>
      <c r="U51" s="79"/>
      <c r="V51" s="81">
        <v>200.0</v>
      </c>
      <c r="W51" s="81">
        <v>190.0</v>
      </c>
      <c r="X51" s="72"/>
      <c r="Y51" s="81">
        <v>180.0</v>
      </c>
      <c r="Z51" s="81">
        <v>170.0</v>
      </c>
      <c r="AA51" s="72"/>
      <c r="AB51" s="72" t="str">
        <f t="shared" si="1"/>
        <v>1</v>
      </c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</row>
    <row r="52" ht="15.0" customHeight="1">
      <c r="A52" s="72" t="str">
        <f>COUNTIFS(NIFTY!$B$7:$B$56,Summary!B52)</f>
        <v>0</v>
      </c>
      <c r="B52" s="73" t="str">
        <f>HYPERLINK("C:\Users\Natik\Desktop\_\All Stock Work\Max Pain Analysis\Stocks\COLPAL - COLGATE PALMOLIVE (INDIA) LIMITED.xlsx","COLPAL")</f>
        <v>COLPAL</v>
      </c>
      <c r="C52" s="74" t="s">
        <v>159</v>
      </c>
      <c r="D52" s="75">
        <v>1285.4</v>
      </c>
      <c r="E52" s="76">
        <v>1300.2</v>
      </c>
      <c r="F52" s="76">
        <v>1325.0</v>
      </c>
      <c r="G52" s="76">
        <v>1288.75</v>
      </c>
      <c r="H52" s="76" t="s">
        <v>524</v>
      </c>
      <c r="I52" s="77">
        <v>1302.0</v>
      </c>
      <c r="J52" s="78" t="s">
        <v>530</v>
      </c>
      <c r="K52" s="79"/>
      <c r="L52" s="75" t="s">
        <v>6</v>
      </c>
      <c r="M52" s="76">
        <v>1297.45</v>
      </c>
      <c r="N52" s="80"/>
      <c r="O52" s="79"/>
      <c r="P52" s="81">
        <v>1360.0</v>
      </c>
      <c r="Q52" s="81">
        <v>1287.7600218954049</v>
      </c>
      <c r="R52" s="81">
        <v>1281.44701664675</v>
      </c>
      <c r="S52" s="72"/>
      <c r="T52" s="81"/>
      <c r="U52" s="79"/>
      <c r="V52" s="81">
        <v>1500.0</v>
      </c>
      <c r="W52" s="81">
        <v>1400.0</v>
      </c>
      <c r="X52" s="72"/>
      <c r="Y52" s="81">
        <v>1300.0</v>
      </c>
      <c r="Z52" s="81">
        <v>1360.0</v>
      </c>
      <c r="AA52" s="72"/>
      <c r="AB52" s="72" t="str">
        <f t="shared" si="1"/>
        <v>0</v>
      </c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</row>
    <row r="53" ht="15.0" customHeight="1">
      <c r="A53" s="72" t="str">
        <f>COUNTIFS(NIFTY!$B$7:$B$56,Summary!B53)</f>
        <v>0</v>
      </c>
      <c r="B53" s="73" t="str">
        <f>HYPERLINK("C:\Users\Natik\Desktop\_\All Stock Work\Max Pain Analysis\Stocks\CONCOR - CONTAINER CORPORATION OF INDIA LIMITED.xlsx","CONCOR")</f>
        <v>CONCOR</v>
      </c>
      <c r="C53" s="74" t="s">
        <v>162</v>
      </c>
      <c r="D53" s="75">
        <v>509.65</v>
      </c>
      <c r="E53" s="76">
        <v>514.0</v>
      </c>
      <c r="F53" s="76">
        <v>523.55</v>
      </c>
      <c r="G53" s="76">
        <v>491.0</v>
      </c>
      <c r="H53" s="76" t="s">
        <v>524</v>
      </c>
      <c r="I53" s="77">
        <v>495.85</v>
      </c>
      <c r="J53" s="78" t="s">
        <v>531</v>
      </c>
      <c r="K53" s="79"/>
      <c r="L53" s="75" t="s">
        <v>6</v>
      </c>
      <c r="M53" s="76">
        <v>496.05</v>
      </c>
      <c r="N53" s="80" t="s">
        <v>524</v>
      </c>
      <c r="O53" s="79"/>
      <c r="P53" s="81">
        <v>570.0</v>
      </c>
      <c r="Q53" s="81">
        <v>545.8719583542279</v>
      </c>
      <c r="R53" s="81">
        <v>544.7402535506625</v>
      </c>
      <c r="S53" s="72"/>
      <c r="T53" s="81"/>
      <c r="U53" s="79"/>
      <c r="V53" s="81">
        <v>730.0</v>
      </c>
      <c r="W53" s="81">
        <v>600.0</v>
      </c>
      <c r="X53" s="72"/>
      <c r="Y53" s="81">
        <v>530.0</v>
      </c>
      <c r="Z53" s="81">
        <v>520.0</v>
      </c>
      <c r="AA53" s="72"/>
      <c r="AB53" s="72" t="str">
        <f t="shared" si="1"/>
        <v>1</v>
      </c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</row>
    <row r="54" ht="15.0" customHeight="1">
      <c r="A54" s="72" t="str">
        <f>COUNTIFS(NIFTY!$B$7:$B$56,Summary!B54)</f>
        <v>0</v>
      </c>
      <c r="B54" s="73" t="str">
        <f>HYPERLINK("C:\Users\Natik\Desktop\_\All Stock Work\Max Pain Analysis\Stocks\CUMMINSIND - CUMMINS INDIA LIMITED.xlsx","CUMMINSIND")</f>
        <v>CUMMINSIND</v>
      </c>
      <c r="C54" s="74" t="s">
        <v>165</v>
      </c>
      <c r="D54" s="75">
        <v>510.95</v>
      </c>
      <c r="E54" s="76">
        <v>513.0</v>
      </c>
      <c r="F54" s="76">
        <v>521.55</v>
      </c>
      <c r="G54" s="76">
        <v>497.0</v>
      </c>
      <c r="H54" s="76">
        <v>500.4</v>
      </c>
      <c r="I54" s="77">
        <v>503.55</v>
      </c>
      <c r="J54" s="78" t="s">
        <v>532</v>
      </c>
      <c r="K54" s="79"/>
      <c r="L54" s="75" t="s">
        <v>6</v>
      </c>
      <c r="M54" s="76">
        <v>499.45</v>
      </c>
      <c r="N54" s="80"/>
      <c r="O54" s="79"/>
      <c r="P54" s="81">
        <v>580.0</v>
      </c>
      <c r="Q54" s="81">
        <v>541.4617715027641</v>
      </c>
      <c r="R54" s="81">
        <v>519.14621256606</v>
      </c>
      <c r="S54" s="72"/>
      <c r="T54" s="81"/>
      <c r="U54" s="79"/>
      <c r="V54" s="81">
        <v>620.0</v>
      </c>
      <c r="W54" s="81">
        <v>600.0</v>
      </c>
      <c r="X54" s="72"/>
      <c r="Y54" s="81">
        <v>620.0</v>
      </c>
      <c r="Z54" s="81">
        <v>560.0</v>
      </c>
      <c r="AA54" s="72"/>
      <c r="AB54" s="72" t="str">
        <f t="shared" si="1"/>
        <v>1</v>
      </c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</row>
    <row r="55" ht="15.0" customHeight="1">
      <c r="A55" s="72" t="str">
        <f>COUNTIFS(NIFTY!$B$7:$B$56,Summary!B55)</f>
        <v>0</v>
      </c>
      <c r="B55" s="73" t="str">
        <f>HYPERLINK("C:\Users\Natik\Desktop\_\All Stock Work\Max Pain Analysis\Stocks\DABUR - DABUR INDIA LIMITED.xlsx","DABUR")</f>
        <v>DABUR</v>
      </c>
      <c r="C55" s="74" t="s">
        <v>168</v>
      </c>
      <c r="D55" s="75">
        <v>496.1</v>
      </c>
      <c r="E55" s="76">
        <v>503.8</v>
      </c>
      <c r="F55" s="76">
        <v>513.7</v>
      </c>
      <c r="G55" s="76">
        <v>493.7</v>
      </c>
      <c r="H55" s="76">
        <v>499.25</v>
      </c>
      <c r="I55" s="77">
        <v>497.5</v>
      </c>
      <c r="J55" s="78" t="s">
        <v>533</v>
      </c>
      <c r="K55" s="79"/>
      <c r="L55" s="75">
        <v>502.05</v>
      </c>
      <c r="M55" s="76">
        <v>497.2</v>
      </c>
      <c r="N55" s="80">
        <v>499.95</v>
      </c>
      <c r="O55" s="79"/>
      <c r="P55" s="81">
        <v>500.0</v>
      </c>
      <c r="Q55" s="81">
        <v>496.7669438300676</v>
      </c>
      <c r="R55" s="81">
        <v>489.3344018655931</v>
      </c>
      <c r="S55" s="72"/>
      <c r="T55" s="81"/>
      <c r="U55" s="79"/>
      <c r="V55" s="81">
        <v>530.0</v>
      </c>
      <c r="W55" s="81">
        <v>520.0</v>
      </c>
      <c r="X55" s="72"/>
      <c r="Y55" s="81">
        <v>500.0</v>
      </c>
      <c r="Z55" s="81">
        <v>480.0</v>
      </c>
      <c r="AA55" s="72"/>
      <c r="AB55" s="72" t="str">
        <f t="shared" si="1"/>
        <v>0</v>
      </c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</row>
    <row r="56" ht="15.0" customHeight="1">
      <c r="A56" s="72" t="str">
        <f>COUNTIFS(NIFTY!$B$7:$B$56,Summary!B56)</f>
        <v>0</v>
      </c>
      <c r="B56" s="73" t="str">
        <f>HYPERLINK("C:\Users\Natik\Desktop\_\All Stock Work\Max Pain Analysis\Stocks\DISHTV - DISH TV INDIA LIMITED.xlsx","DISHTV")</f>
        <v>DISHTV</v>
      </c>
      <c r="C56" s="74" t="s">
        <v>171</v>
      </c>
      <c r="D56" s="75">
        <v>8.25</v>
      </c>
      <c r="E56" s="76">
        <v>8.55</v>
      </c>
      <c r="F56" s="76">
        <v>8.85</v>
      </c>
      <c r="G56" s="76">
        <v>7.8</v>
      </c>
      <c r="H56" s="76">
        <v>8.05</v>
      </c>
      <c r="I56" s="77">
        <v>8.1</v>
      </c>
      <c r="J56" s="78" t="s">
        <v>534</v>
      </c>
      <c r="K56" s="79"/>
      <c r="L56" s="75">
        <v>14.65</v>
      </c>
      <c r="M56" s="76"/>
      <c r="N56" s="80"/>
      <c r="O56" s="79"/>
      <c r="P56" s="81">
        <v>13.0</v>
      </c>
      <c r="Q56" s="81">
        <v>11.969226945065872</v>
      </c>
      <c r="R56" s="81">
        <v>11.899421736766667</v>
      </c>
      <c r="S56" s="72"/>
      <c r="T56" s="81"/>
      <c r="U56" s="79"/>
      <c r="V56" s="81">
        <v>15.0</v>
      </c>
      <c r="W56" s="81">
        <v>14.0</v>
      </c>
      <c r="X56" s="72"/>
      <c r="Y56" s="81">
        <v>13.0</v>
      </c>
      <c r="Z56" s="81">
        <v>12.0</v>
      </c>
      <c r="AA56" s="72"/>
      <c r="AB56" s="72" t="str">
        <f t="shared" si="1"/>
        <v>1</v>
      </c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</row>
    <row r="57" ht="15.0" customHeight="1">
      <c r="A57" s="72" t="str">
        <f>COUNTIFS(NIFTY!$B$7:$B$56,Summary!B57)</f>
        <v>0</v>
      </c>
      <c r="B57" s="73" t="str">
        <f>HYPERLINK("C:\Users\Natik\Desktop\_\All Stock Work\Max Pain Analysis\Stocks\DIVISLAB - DIVI'S LABORATORIES LIMITED.xlsx","DIVISLAB")</f>
        <v>DIVISLAB</v>
      </c>
      <c r="C57" s="74" t="s">
        <v>174</v>
      </c>
      <c r="D57" s="75">
        <v>2106.95</v>
      </c>
      <c r="E57" s="76">
        <v>2130.0</v>
      </c>
      <c r="F57" s="76">
        <v>2164.9</v>
      </c>
      <c r="G57" s="76">
        <v>2086.0</v>
      </c>
      <c r="H57" s="76">
        <v>2109.25</v>
      </c>
      <c r="I57" s="77">
        <v>2120.0</v>
      </c>
      <c r="J57" s="78" t="s">
        <v>535</v>
      </c>
      <c r="K57" s="79"/>
      <c r="L57" s="75">
        <v>2151.0</v>
      </c>
      <c r="M57" s="76">
        <v>2124.8</v>
      </c>
      <c r="N57" s="80">
        <v>1961.25</v>
      </c>
      <c r="O57" s="79"/>
      <c r="P57" s="81">
        <v>2060.0</v>
      </c>
      <c r="Q57" s="81">
        <v>2025.1104764091172</v>
      </c>
      <c r="R57" s="81">
        <v>1982.9174205576994</v>
      </c>
      <c r="S57" s="72"/>
      <c r="T57" s="81"/>
      <c r="U57" s="79"/>
      <c r="V57" s="81">
        <v>2160.0</v>
      </c>
      <c r="W57" s="81">
        <v>2140.0</v>
      </c>
      <c r="X57" s="72"/>
      <c r="Y57" s="81">
        <v>2000.0</v>
      </c>
      <c r="Z57" s="81">
        <v>1900.0</v>
      </c>
      <c r="AA57" s="72"/>
      <c r="AB57" s="72" t="str">
        <f t="shared" si="1"/>
        <v>0</v>
      </c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</row>
    <row r="58" ht="15.0" customHeight="1">
      <c r="A58" s="72" t="str">
        <f>COUNTIFS(NIFTY!$B$7:$B$56,Summary!B58)</f>
        <v>0</v>
      </c>
      <c r="B58" s="73" t="str">
        <f>HYPERLINK("C:\Users\Natik\Desktop\_\All Stock Work\Max Pain Analysis\Stocks\DLF - DLF LIMITED.xlsx","DLF")</f>
        <v>DLF</v>
      </c>
      <c r="C58" s="74" t="s">
        <v>177</v>
      </c>
      <c r="D58" s="75">
        <v>201.7</v>
      </c>
      <c r="E58" s="76">
        <v>206.0</v>
      </c>
      <c r="F58" s="76">
        <v>213.4</v>
      </c>
      <c r="G58" s="76">
        <v>199.8</v>
      </c>
      <c r="H58" s="76">
        <v>203.85</v>
      </c>
      <c r="I58" s="77">
        <v>200.55</v>
      </c>
      <c r="J58" s="78" t="s">
        <v>536</v>
      </c>
      <c r="K58" s="79"/>
      <c r="L58" s="75">
        <v>207.75</v>
      </c>
      <c r="M58" s="76">
        <v>201.0</v>
      </c>
      <c r="N58" s="80">
        <v>257.65</v>
      </c>
      <c r="O58" s="79"/>
      <c r="P58" s="81">
        <v>240.0</v>
      </c>
      <c r="Q58" s="81">
        <v>216.02708246053064</v>
      </c>
      <c r="R58" s="81">
        <v>213.55688648615128</v>
      </c>
      <c r="S58" s="72"/>
      <c r="T58" s="81"/>
      <c r="U58" s="79"/>
      <c r="V58" s="81">
        <v>285.0</v>
      </c>
      <c r="W58" s="81">
        <v>250.0</v>
      </c>
      <c r="X58" s="72"/>
      <c r="Y58" s="81">
        <v>220.0</v>
      </c>
      <c r="Z58" s="81">
        <v>230.0</v>
      </c>
      <c r="AA58" s="72"/>
      <c r="AB58" s="72" t="str">
        <f t="shared" si="1"/>
        <v>1</v>
      </c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</row>
    <row r="59" ht="15.0" customHeight="1">
      <c r="A59" s="72" t="str">
        <f>COUNTIFS(NIFTY!$B$7:$B$56,Summary!B59)</f>
        <v>1</v>
      </c>
      <c r="B59" s="73" t="str">
        <f>HYPERLINK("C:\Users\Natik\Desktop\_\All Stock Work\Max Pain Analysis\Stocks\DRREDDY - DR REDDY'S LABORATORIES LIMITED.xlsx","DRREDDY")</f>
        <v>DRREDDY</v>
      </c>
      <c r="C59" s="74" t="s">
        <v>180</v>
      </c>
      <c r="D59" s="75">
        <v>2927.1</v>
      </c>
      <c r="E59" s="76">
        <v>2961.0</v>
      </c>
      <c r="F59" s="76">
        <v>2997.25</v>
      </c>
      <c r="G59" s="76">
        <v>2876.0</v>
      </c>
      <c r="H59" s="76">
        <v>2905.55</v>
      </c>
      <c r="I59" s="77">
        <v>2894.5</v>
      </c>
      <c r="J59" s="78" t="s">
        <v>537</v>
      </c>
      <c r="K59" s="79"/>
      <c r="L59" s="75" t="s">
        <v>6</v>
      </c>
      <c r="M59" s="76">
        <v>2899.85</v>
      </c>
      <c r="N59" s="80">
        <v>3214.2</v>
      </c>
      <c r="O59" s="79"/>
      <c r="P59" s="81">
        <v>3150.0</v>
      </c>
      <c r="Q59" s="81">
        <v>3038.0667984178253</v>
      </c>
      <c r="R59" s="81">
        <v>2876.806858932963</v>
      </c>
      <c r="S59" s="72"/>
      <c r="T59" s="81"/>
      <c r="U59" s="79"/>
      <c r="V59" s="81">
        <v>3600.0</v>
      </c>
      <c r="W59" s="81">
        <v>3300.0</v>
      </c>
      <c r="X59" s="72"/>
      <c r="Y59" s="81">
        <v>3100.0</v>
      </c>
      <c r="Z59" s="81">
        <v>3000.0</v>
      </c>
      <c r="AA59" s="72"/>
      <c r="AB59" s="72" t="str">
        <f t="shared" si="1"/>
        <v>1</v>
      </c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</row>
    <row r="60" ht="15.0" customHeight="1">
      <c r="A60" s="72" t="str">
        <f>COUNTIFS(NIFTY!$B$7:$B$56,Summary!B60)</f>
        <v>1</v>
      </c>
      <c r="B60" s="73" t="str">
        <f>HYPERLINK("C:\Users\Natik\Desktop\_\All Stock Work\Max Pain Analysis\Stocks\EICHERMOT - EICHER MOTORS LIMITED.xlsx","EICHERMOT")</f>
        <v>EICHERMOT</v>
      </c>
      <c r="C60" s="74" t="s">
        <v>183</v>
      </c>
      <c r="D60" s="75">
        <v>16602.35</v>
      </c>
      <c r="E60" s="76">
        <v>16666.0</v>
      </c>
      <c r="F60" s="76">
        <v>17782.9</v>
      </c>
      <c r="G60" s="76">
        <v>16643.0</v>
      </c>
      <c r="H60" s="76">
        <v>17013.4</v>
      </c>
      <c r="I60" s="77">
        <v>17013.4</v>
      </c>
      <c r="J60" s="78" t="s">
        <v>538</v>
      </c>
      <c r="K60" s="79"/>
      <c r="L60" s="75" t="s">
        <v>6</v>
      </c>
      <c r="M60" s="76">
        <v>17029.9</v>
      </c>
      <c r="N60" s="80">
        <v>20682.85</v>
      </c>
      <c r="O60" s="79"/>
      <c r="P60" s="81">
        <v>19500.0</v>
      </c>
      <c r="Q60" s="81">
        <v>17494.620576023917</v>
      </c>
      <c r="R60" s="81">
        <v>17435.010774748847</v>
      </c>
      <c r="S60" s="72"/>
      <c r="T60" s="81"/>
      <c r="U60" s="79"/>
      <c r="V60" s="81">
        <v>21000.0</v>
      </c>
      <c r="W60" s="81">
        <v>20000.0</v>
      </c>
      <c r="X60" s="72"/>
      <c r="Y60" s="81">
        <v>19000.0</v>
      </c>
      <c r="Z60" s="81">
        <v>18500.0</v>
      </c>
      <c r="AA60" s="72"/>
      <c r="AB60" s="72" t="str">
        <f t="shared" si="1"/>
        <v>1</v>
      </c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</row>
    <row r="61" ht="15.0" customHeight="1">
      <c r="A61" s="72" t="str">
        <f>COUNTIFS(NIFTY!$B$7:$B$56,Summary!B61)</f>
        <v>0</v>
      </c>
      <c r="B61" s="73" t="str">
        <f>HYPERLINK("C:\Users\Natik\Desktop\_\All Stock Work\Max Pain Analysis\Stocks\EQUITAS - EQUITAS HOLDINGS LIMITED.xlsx","EQUITAS")</f>
        <v>EQUITAS</v>
      </c>
      <c r="C61" s="74" t="s">
        <v>186</v>
      </c>
      <c r="D61" s="75">
        <v>107.85</v>
      </c>
      <c r="E61" s="76">
        <v>111.3</v>
      </c>
      <c r="F61" s="76">
        <v>113.2</v>
      </c>
      <c r="G61" s="76">
        <v>105.35</v>
      </c>
      <c r="H61" s="76">
        <v>106.75</v>
      </c>
      <c r="I61" s="77">
        <v>106.7</v>
      </c>
      <c r="J61" s="78" t="s">
        <v>539</v>
      </c>
      <c r="K61" s="79"/>
      <c r="L61" s="75">
        <v>114.4</v>
      </c>
      <c r="M61" s="76">
        <v>106.65</v>
      </c>
      <c r="N61" s="80">
        <v>113.45</v>
      </c>
      <c r="O61" s="79"/>
      <c r="P61" s="81">
        <v>110.0</v>
      </c>
      <c r="Q61" s="81">
        <v>101.79315801528307</v>
      </c>
      <c r="R61" s="81">
        <v>97.1256580907917</v>
      </c>
      <c r="S61" s="72"/>
      <c r="T61" s="81"/>
      <c r="U61" s="79"/>
      <c r="V61" s="81">
        <v>120.0</v>
      </c>
      <c r="W61" s="81">
        <v>115.0</v>
      </c>
      <c r="X61" s="72"/>
      <c r="Y61" s="81">
        <v>110.0</v>
      </c>
      <c r="Z61" s="81">
        <v>100.0</v>
      </c>
      <c r="AA61" s="72"/>
      <c r="AB61" s="72" t="str">
        <f t="shared" si="1"/>
        <v>0</v>
      </c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</row>
    <row r="62" ht="15.0" customHeight="1">
      <c r="A62" s="72" t="str">
        <f>COUNTIFS(NIFTY!$B$7:$B$56,Summary!B62)</f>
        <v>0</v>
      </c>
      <c r="B62" s="73" t="str">
        <f>HYPERLINK("C:\Users\Natik\Desktop\_\All Stock Work\Max Pain Analysis\Stocks\ESCORTS - ESCORTS LIMITED.xlsx","ESCORTS")</f>
        <v>ESCORTS</v>
      </c>
      <c r="C62" s="74" t="s">
        <v>189</v>
      </c>
      <c r="D62" s="75">
        <v>780.1</v>
      </c>
      <c r="E62" s="76">
        <v>820.0</v>
      </c>
      <c r="F62" s="76">
        <v>871.95</v>
      </c>
      <c r="G62" s="76">
        <v>811.0</v>
      </c>
      <c r="H62" s="76">
        <v>844.3</v>
      </c>
      <c r="I62" s="77">
        <v>847.0</v>
      </c>
      <c r="J62" s="78" t="s">
        <v>540</v>
      </c>
      <c r="K62" s="79"/>
      <c r="L62" s="75">
        <v>831.95</v>
      </c>
      <c r="M62" s="76">
        <v>850.25</v>
      </c>
      <c r="N62" s="80">
        <v>853.05</v>
      </c>
      <c r="O62" s="79"/>
      <c r="P62" s="81">
        <v>840.0</v>
      </c>
      <c r="Q62" s="81">
        <v>828.6386186569259</v>
      </c>
      <c r="R62" s="81">
        <v>809.1986437507308</v>
      </c>
      <c r="S62" s="72"/>
      <c r="T62" s="81"/>
      <c r="U62" s="79"/>
      <c r="V62" s="81">
        <v>900.0</v>
      </c>
      <c r="W62" s="81">
        <v>880.0</v>
      </c>
      <c r="X62" s="72"/>
      <c r="Y62" s="81">
        <v>800.0</v>
      </c>
      <c r="Z62" s="81">
        <v>840.0</v>
      </c>
      <c r="AA62" s="72"/>
      <c r="AB62" s="72" t="str">
        <f t="shared" si="1"/>
        <v>0</v>
      </c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</row>
    <row r="63" ht="15.0" customHeight="1">
      <c r="A63" s="72" t="str">
        <f>COUNTIFS(NIFTY!$B$7:$B$56,Summary!B63)</f>
        <v>0</v>
      </c>
      <c r="B63" s="73" t="str">
        <f>HYPERLINK("C:\Users\Natik\Desktop\_\All Stock Work\Max Pain Analysis\Stocks\EXIDEIND - EXIDE INDUSTRIES LIMITED.xlsx","EXIDEIND")</f>
        <v>EXIDEIND</v>
      </c>
      <c r="C63" s="74" t="s">
        <v>192</v>
      </c>
      <c r="D63" s="75">
        <v>164.35</v>
      </c>
      <c r="E63" s="76">
        <v>165.2</v>
      </c>
      <c r="F63" s="76">
        <v>168.0</v>
      </c>
      <c r="G63" s="76">
        <v>158.9</v>
      </c>
      <c r="H63" s="76">
        <v>159.9</v>
      </c>
      <c r="I63" s="77">
        <v>160.05</v>
      </c>
      <c r="J63" s="78" t="s">
        <v>541</v>
      </c>
      <c r="K63" s="79"/>
      <c r="L63" s="75">
        <v>168.8</v>
      </c>
      <c r="M63" s="76">
        <v>157.55</v>
      </c>
      <c r="N63" s="80">
        <v>158.1</v>
      </c>
      <c r="O63" s="79"/>
      <c r="P63" s="81">
        <v>180.0</v>
      </c>
      <c r="Q63" s="81">
        <v>169.75067302201452</v>
      </c>
      <c r="R63" s="81">
        <v>167.75343607981702</v>
      </c>
      <c r="S63" s="72"/>
      <c r="T63" s="81"/>
      <c r="U63" s="79"/>
      <c r="V63" s="81">
        <v>200.0</v>
      </c>
      <c r="W63" s="81">
        <v>190.0</v>
      </c>
      <c r="X63" s="72"/>
      <c r="Y63" s="81">
        <v>175.0</v>
      </c>
      <c r="Z63" s="81">
        <v>180.0</v>
      </c>
      <c r="AA63" s="72"/>
      <c r="AB63" s="72" t="str">
        <f t="shared" si="1"/>
        <v>1</v>
      </c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</row>
    <row r="64" ht="15.0" customHeight="1">
      <c r="A64" s="72" t="str">
        <f>COUNTIFS(NIFTY!$B$7:$B$56,Summary!B64)</f>
        <v>1</v>
      </c>
      <c r="B64" s="73" t="str">
        <f>HYPERLINK("C:\Users\Natik\Desktop\_\All Stock Work\Max Pain Analysis\Stocks\GAIL - GAIL (INDIA) LIMITED.xlsx","GAIL")</f>
        <v>GAIL</v>
      </c>
      <c r="C64" s="74" t="s">
        <v>195</v>
      </c>
      <c r="D64" s="75">
        <v>104.4</v>
      </c>
      <c r="E64" s="76">
        <v>106.0</v>
      </c>
      <c r="F64" s="76">
        <v>107.35</v>
      </c>
      <c r="G64" s="76">
        <v>98.7</v>
      </c>
      <c r="H64" s="76">
        <v>99.65</v>
      </c>
      <c r="I64" s="77">
        <v>99.8</v>
      </c>
      <c r="J64" s="78" t="s">
        <v>542</v>
      </c>
      <c r="K64" s="79"/>
      <c r="L64" s="75" t="s">
        <v>6</v>
      </c>
      <c r="M64" s="76">
        <v>100.25</v>
      </c>
      <c r="N64" s="80">
        <v>100.8</v>
      </c>
      <c r="O64" s="79"/>
      <c r="P64" s="81">
        <v>122.5</v>
      </c>
      <c r="Q64" s="81">
        <v>123.64588596292553</v>
      </c>
      <c r="R64" s="81">
        <v>117.68505333283586</v>
      </c>
      <c r="S64" s="72"/>
      <c r="T64" s="81"/>
      <c r="U64" s="79"/>
      <c r="V64" s="81">
        <v>177.5</v>
      </c>
      <c r="W64" s="81">
        <v>130.0</v>
      </c>
      <c r="X64" s="72"/>
      <c r="Y64" s="81">
        <v>120.0</v>
      </c>
      <c r="Z64" s="81">
        <v>125.0</v>
      </c>
      <c r="AA64" s="72"/>
      <c r="AB64" s="72" t="str">
        <f t="shared" si="1"/>
        <v>1</v>
      </c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</row>
    <row r="65" ht="15.0" customHeight="1">
      <c r="A65" s="72" t="str">
        <f>COUNTIFS(NIFTY!$B$7:$B$56,Summary!B65)</f>
        <v>0</v>
      </c>
      <c r="B65" s="73" t="str">
        <f>HYPERLINK("C:\Users\Natik\Desktop\_\All Stock Work\Max Pain Analysis\Stocks\GLENMARK - GLENMARK PHARMACEUTICALS LIMITED.xlsx","GLENMARK")</f>
        <v>GLENMARK</v>
      </c>
      <c r="C65" s="74" t="s">
        <v>198</v>
      </c>
      <c r="D65" s="75">
        <v>277.55</v>
      </c>
      <c r="E65" s="76">
        <v>279.5</v>
      </c>
      <c r="F65" s="76">
        <v>287.5</v>
      </c>
      <c r="G65" s="76">
        <v>271.9</v>
      </c>
      <c r="H65" s="76">
        <v>273.8</v>
      </c>
      <c r="I65" s="77">
        <v>274.45</v>
      </c>
      <c r="J65" s="78" t="s">
        <v>543</v>
      </c>
      <c r="K65" s="79"/>
      <c r="L65" s="75">
        <v>294.25</v>
      </c>
      <c r="M65" s="76">
        <v>274.0</v>
      </c>
      <c r="N65" s="80">
        <v>275.5</v>
      </c>
      <c r="O65" s="79"/>
      <c r="P65" s="81">
        <v>330.0</v>
      </c>
      <c r="Q65" s="81">
        <v>286.7763538922107</v>
      </c>
      <c r="R65" s="81">
        <v>285.41204932739066</v>
      </c>
      <c r="S65" s="72"/>
      <c r="T65" s="81"/>
      <c r="U65" s="79"/>
      <c r="V65" s="81">
        <v>340.0</v>
      </c>
      <c r="W65" s="81">
        <v>350.0</v>
      </c>
      <c r="X65" s="72"/>
      <c r="Y65" s="81">
        <v>320.0</v>
      </c>
      <c r="Z65" s="81">
        <v>310.0</v>
      </c>
      <c r="AA65" s="72"/>
      <c r="AB65" s="72" t="str">
        <f t="shared" si="1"/>
        <v>1</v>
      </c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</row>
    <row r="66" ht="15.0" customHeight="1">
      <c r="A66" s="72" t="str">
        <f>COUNTIFS(NIFTY!$B$7:$B$56,Summary!B66)</f>
        <v>0</v>
      </c>
      <c r="B66" s="73" t="str">
        <f>HYPERLINK("C:\Users\Natik\Desktop\_\All Stock Work\Max Pain Analysis\Stocks\GMRINFRA - GMR INFRASTRUCTURE LIMITED.xlsx","GMRINFRA")</f>
        <v>GMRINFRA</v>
      </c>
      <c r="C66" s="74" t="s">
        <v>201</v>
      </c>
      <c r="D66" s="75">
        <v>20.0</v>
      </c>
      <c r="E66" s="76">
        <v>20.7</v>
      </c>
      <c r="F66" s="76">
        <v>21.2</v>
      </c>
      <c r="G66" s="76">
        <v>19.6</v>
      </c>
      <c r="H66" s="76">
        <v>20.05</v>
      </c>
      <c r="I66" s="77">
        <v>20.5</v>
      </c>
      <c r="J66" s="78" t="s">
        <v>544</v>
      </c>
      <c r="K66" s="79"/>
      <c r="L66" s="75">
        <v>23.65</v>
      </c>
      <c r="M66" s="76">
        <v>20.0</v>
      </c>
      <c r="N66" s="80">
        <v>20.15</v>
      </c>
      <c r="O66" s="79"/>
      <c r="P66" s="81">
        <v>23.0</v>
      </c>
      <c r="Q66" s="81">
        <v>22.39050696986216</v>
      </c>
      <c r="R66" s="81">
        <v>22.120056931835666</v>
      </c>
      <c r="S66" s="72"/>
      <c r="T66" s="81"/>
      <c r="U66" s="79"/>
      <c r="V66" s="81">
        <v>29.0</v>
      </c>
      <c r="W66" s="81">
        <v>25.0</v>
      </c>
      <c r="X66" s="72"/>
      <c r="Y66" s="81">
        <v>20.0</v>
      </c>
      <c r="Z66" s="81">
        <v>22.0</v>
      </c>
      <c r="AA66" s="72"/>
      <c r="AB66" s="72" t="str">
        <f t="shared" si="1"/>
        <v>1</v>
      </c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</row>
    <row r="67" ht="15.0" customHeight="1">
      <c r="A67" s="72" t="str">
        <f>COUNTIFS(NIFTY!$B$7:$B$56,Summary!B67)</f>
        <v>0</v>
      </c>
      <c r="B67" s="73" t="str">
        <f>HYPERLINK("C:\Users\Natik\Desktop\_\All Stock Work\Max Pain Analysis\Stocks\GODREJCP - GODREJ CONSUMER PRODUCTS LIMITED.xlsx","GODREJCP")</f>
        <v>GODREJCP</v>
      </c>
      <c r="C67" s="74" t="s">
        <v>204</v>
      </c>
      <c r="D67" s="75">
        <v>560.5</v>
      </c>
      <c r="E67" s="76">
        <v>574.0</v>
      </c>
      <c r="F67" s="76">
        <v>611.3</v>
      </c>
      <c r="G67" s="76">
        <v>573.8</v>
      </c>
      <c r="H67" s="76">
        <v>587.15</v>
      </c>
      <c r="I67" s="77">
        <v>594.75</v>
      </c>
      <c r="J67" s="78" t="s">
        <v>545</v>
      </c>
      <c r="K67" s="79"/>
      <c r="L67" s="75">
        <v>608.7</v>
      </c>
      <c r="M67" s="76">
        <v>593.6</v>
      </c>
      <c r="N67" s="80"/>
      <c r="O67" s="79"/>
      <c r="P67" s="81">
        <v>650.0</v>
      </c>
      <c r="Q67" s="81">
        <v>612.8083705441611</v>
      </c>
      <c r="R67" s="81">
        <v>599.2744645262519</v>
      </c>
      <c r="S67" s="72"/>
      <c r="T67" s="81"/>
      <c r="U67" s="79"/>
      <c r="V67" s="81">
        <v>660.0</v>
      </c>
      <c r="W67" s="81">
        <v>650.0</v>
      </c>
      <c r="X67" s="72"/>
      <c r="Y67" s="81">
        <v>600.0</v>
      </c>
      <c r="Z67" s="81">
        <v>620.0</v>
      </c>
      <c r="AA67" s="72"/>
      <c r="AB67" s="72" t="str">
        <f t="shared" si="1"/>
        <v>1</v>
      </c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</row>
    <row r="68" ht="15.0" customHeight="1">
      <c r="A68" s="72" t="str">
        <f>COUNTIFS(NIFTY!$B$7:$B$56,Summary!B68)</f>
        <v>1</v>
      </c>
      <c r="B68" s="73" t="str">
        <f>HYPERLINK("C:\Users\Natik\Desktop\_\All Stock Work\Max Pain Analysis\Stocks\GRASIM - GRASIM INDUSTRIES LIMITED.xlsx","GRASIM")</f>
        <v>GRASIM</v>
      </c>
      <c r="C68" s="74" t="s">
        <v>207</v>
      </c>
      <c r="D68" s="75">
        <v>687.2</v>
      </c>
      <c r="E68" s="76">
        <v>701.0</v>
      </c>
      <c r="F68" s="76">
        <v>701.5</v>
      </c>
      <c r="G68" s="76">
        <v>657.3</v>
      </c>
      <c r="H68" s="76">
        <v>668.45</v>
      </c>
      <c r="I68" s="77">
        <v>669.0</v>
      </c>
      <c r="J68" s="78" t="s">
        <v>546</v>
      </c>
      <c r="K68" s="79"/>
      <c r="L68" s="75" t="s">
        <v>6</v>
      </c>
      <c r="M68" s="76">
        <v>671.0</v>
      </c>
      <c r="N68" s="80">
        <v>673.8</v>
      </c>
      <c r="O68" s="79"/>
      <c r="P68" s="81">
        <v>760.0</v>
      </c>
      <c r="Q68" s="81">
        <v>665.3194604424305</v>
      </c>
      <c r="R68" s="81">
        <v>655.174319321586</v>
      </c>
      <c r="S68" s="72"/>
      <c r="T68" s="81"/>
      <c r="U68" s="79"/>
      <c r="V68" s="81">
        <v>760.0</v>
      </c>
      <c r="W68" s="81">
        <v>820.0</v>
      </c>
      <c r="X68" s="72"/>
      <c r="Y68" s="81">
        <v>740.0</v>
      </c>
      <c r="Z68" s="81">
        <v>720.0</v>
      </c>
      <c r="AA68" s="72"/>
      <c r="AB68" s="72" t="str">
        <f t="shared" si="1"/>
        <v>0</v>
      </c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</row>
    <row r="69" ht="15.0" customHeight="1">
      <c r="A69" s="72" t="str">
        <f>COUNTIFS(NIFTY!$B$7:$B$56,Summary!B69)</f>
        <v>0</v>
      </c>
      <c r="B69" s="73" t="str">
        <f>HYPERLINK("C:\Users\Natik\Desktop\_\All Stock Work\Max Pain Analysis\Stocks\HAVELLS - HAVELLS INDIA LIMITED.xlsx","HAVELLS")</f>
        <v>HAVELLS</v>
      </c>
      <c r="C69" s="74" t="s">
        <v>210</v>
      </c>
      <c r="D69" s="75">
        <v>613.05</v>
      </c>
      <c r="E69" s="76">
        <v>620.05</v>
      </c>
      <c r="F69" s="76">
        <v>647.8</v>
      </c>
      <c r="G69" s="76">
        <v>620.05</v>
      </c>
      <c r="H69" s="76">
        <v>627.6</v>
      </c>
      <c r="I69" s="77">
        <v>623.2</v>
      </c>
      <c r="J69" s="78" t="s">
        <v>547</v>
      </c>
      <c r="K69" s="79"/>
      <c r="L69" s="75" t="s">
        <v>6</v>
      </c>
      <c r="M69" s="76">
        <v>622.95</v>
      </c>
      <c r="N69" s="80">
        <v>625.35</v>
      </c>
      <c r="O69" s="79"/>
      <c r="P69" s="81">
        <v>620.0</v>
      </c>
      <c r="Q69" s="81">
        <v>591.9770924755425</v>
      </c>
      <c r="R69" s="81">
        <v>589.915629588619</v>
      </c>
      <c r="S69" s="72"/>
      <c r="T69" s="81"/>
      <c r="U69" s="79"/>
      <c r="V69" s="81">
        <v>630.0</v>
      </c>
      <c r="W69" s="81">
        <v>620.0</v>
      </c>
      <c r="X69" s="72"/>
      <c r="Y69" s="81">
        <v>580.0</v>
      </c>
      <c r="Z69" s="81">
        <v>600.0</v>
      </c>
      <c r="AA69" s="72"/>
      <c r="AB69" s="72" t="str">
        <f t="shared" si="1"/>
        <v>0</v>
      </c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</row>
    <row r="70" ht="15.0" customHeight="1">
      <c r="A70" s="72" t="str">
        <f>COUNTIFS(NIFTY!$B$7:$B$56,Summary!B70)</f>
        <v>1</v>
      </c>
      <c r="B70" s="73" t="str">
        <f>HYPERLINK("C:\Users\Natik\Desktop\_\All Stock Work\Max Pain Analysis\Stocks\HCLTECH - HCL TECHNOLOGIES LIMITED.xlsx","HCLTECH")</f>
        <v>HCLTECH</v>
      </c>
      <c r="C70" s="74" t="s">
        <v>213</v>
      </c>
      <c r="D70" s="75">
        <v>419.0</v>
      </c>
      <c r="E70" s="76">
        <v>433.2</v>
      </c>
      <c r="F70" s="76">
        <v>449.4</v>
      </c>
      <c r="G70" s="76">
        <v>425.3</v>
      </c>
      <c r="H70" s="76">
        <v>436.4</v>
      </c>
      <c r="I70" s="77">
        <v>433.0</v>
      </c>
      <c r="J70" s="78" t="s">
        <v>548</v>
      </c>
      <c r="K70" s="79"/>
      <c r="L70" s="75">
        <v>435.15</v>
      </c>
      <c r="M70" s="76">
        <v>446.9</v>
      </c>
      <c r="N70" s="80">
        <v>446.9</v>
      </c>
      <c r="O70" s="79"/>
      <c r="P70" s="81">
        <v>450.0</v>
      </c>
      <c r="Q70" s="81">
        <v>466.2484661182566</v>
      </c>
      <c r="R70" s="81">
        <v>448.0636355695318</v>
      </c>
      <c r="S70" s="72"/>
      <c r="T70" s="81"/>
      <c r="U70" s="79"/>
      <c r="V70" s="81">
        <v>450.0</v>
      </c>
      <c r="W70" s="81">
        <v>450.0</v>
      </c>
      <c r="X70" s="72"/>
      <c r="Y70" s="81">
        <v>400.0</v>
      </c>
      <c r="Z70" s="81">
        <v>420.0</v>
      </c>
      <c r="AA70" s="72"/>
      <c r="AB70" s="72" t="str">
        <f t="shared" si="1"/>
        <v>1</v>
      </c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</row>
    <row r="71" ht="15.0" customHeight="1">
      <c r="A71" s="72" t="str">
        <f>COUNTIFS(NIFTY!$B$7:$B$56,Summary!B71)</f>
        <v>1</v>
      </c>
      <c r="B71" s="73" t="str">
        <f>HYPERLINK("C:\Users\Natik\Desktop\_\All Stock Work\Max Pain Analysis\Stocks\HDFC - HOUSING DEVELOPMENT FINANCE CORPORATION LIMITED.xlsx","HDFC")</f>
        <v>HDFC</v>
      </c>
      <c r="C71" s="74" t="s">
        <v>216</v>
      </c>
      <c r="D71" s="75">
        <v>2175.75</v>
      </c>
      <c r="E71" s="76">
        <v>2215.0</v>
      </c>
      <c r="F71" s="76">
        <v>2248.35</v>
      </c>
      <c r="G71" s="76">
        <v>2153.8</v>
      </c>
      <c r="H71" s="76">
        <v>2179.65</v>
      </c>
      <c r="I71" s="77">
        <v>2183.7</v>
      </c>
      <c r="J71" s="78" t="s">
        <v>549</v>
      </c>
      <c r="K71" s="79"/>
      <c r="L71" s="75" t="s">
        <v>6</v>
      </c>
      <c r="M71" s="76">
        <v>2190.9</v>
      </c>
      <c r="N71" s="80">
        <v>2200.0</v>
      </c>
      <c r="O71" s="79"/>
      <c r="P71" s="81">
        <v>2380.0</v>
      </c>
      <c r="Q71" s="81">
        <v>2243.483253029404</v>
      </c>
      <c r="R71" s="81">
        <v>2213.8107679415716</v>
      </c>
      <c r="S71" s="72"/>
      <c r="T71" s="81"/>
      <c r="U71" s="79"/>
      <c r="V71" s="81">
        <v>2580.0</v>
      </c>
      <c r="W71" s="81">
        <v>2500.0</v>
      </c>
      <c r="X71" s="72"/>
      <c r="Y71" s="81">
        <v>2300.0</v>
      </c>
      <c r="Z71" s="81">
        <v>2400.0</v>
      </c>
      <c r="AA71" s="72"/>
      <c r="AB71" s="72" t="str">
        <f t="shared" si="1"/>
        <v>1</v>
      </c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</row>
    <row r="72" ht="15.0" customHeight="1">
      <c r="A72" s="72" t="str">
        <f>COUNTIFS(NIFTY!$B$7:$B$56,Summary!B72)</f>
        <v>1</v>
      </c>
      <c r="B72" s="73" t="str">
        <f>HYPERLINK("C:\Users\Natik\Desktop\_\All Stock Work\Max Pain Analysis\Stocks\HEROMOTOCO - HERO MOTOCORP LIMITED.xlsx","HEROMOTOCO")</f>
        <v>HEROMOTOCO</v>
      </c>
      <c r="C72" s="74" t="s">
        <v>220</v>
      </c>
      <c r="D72" s="75">
        <v>2051.75</v>
      </c>
      <c r="E72" s="76">
        <v>2100.0</v>
      </c>
      <c r="F72" s="76">
        <v>2110.0</v>
      </c>
      <c r="G72" s="76">
        <v>1961.0</v>
      </c>
      <c r="H72" s="76">
        <v>1975.45</v>
      </c>
      <c r="I72" s="77">
        <v>1975.0</v>
      </c>
      <c r="J72" s="78" t="s">
        <v>550</v>
      </c>
      <c r="K72" s="79"/>
      <c r="L72" s="75">
        <v>2115.85</v>
      </c>
      <c r="M72" s="76">
        <v>1975.0</v>
      </c>
      <c r="N72" s="80">
        <v>1989.6</v>
      </c>
      <c r="O72" s="79"/>
      <c r="P72" s="81">
        <v>2300.0</v>
      </c>
      <c r="Q72" s="81">
        <v>2189.4158675264393</v>
      </c>
      <c r="R72" s="81">
        <v>2127.706720254997</v>
      </c>
      <c r="S72" s="72"/>
      <c r="T72" s="81"/>
      <c r="U72" s="79"/>
      <c r="V72" s="81">
        <v>2500.0</v>
      </c>
      <c r="W72" s="81">
        <v>2300.0</v>
      </c>
      <c r="X72" s="72"/>
      <c r="Y72" s="81">
        <v>2200.0</v>
      </c>
      <c r="Z72" s="81">
        <v>2250.0</v>
      </c>
      <c r="AA72" s="72"/>
      <c r="AB72" s="72" t="str">
        <f t="shared" si="1"/>
        <v>1</v>
      </c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</row>
    <row r="73" ht="15.0" customHeight="1">
      <c r="A73" s="72" t="str">
        <f>COUNTIFS(NIFTY!$B$7:$B$56,Summary!B73)</f>
        <v>1</v>
      </c>
      <c r="B73" s="73" t="str">
        <f>HYPERLINK("C:\Users\Natik\Desktop\_\All Stock Work\Max Pain Analysis\Stocks\HINDALCO - HINDALCO INDUSTRIES LIMITED.xlsx","HINDALCO")</f>
        <v>HINDALCO</v>
      </c>
      <c r="C73" s="74" t="s">
        <v>223</v>
      </c>
      <c r="D73" s="75">
        <v>155.9</v>
      </c>
      <c r="E73" s="76">
        <v>160.55</v>
      </c>
      <c r="F73" s="76">
        <v>161.45</v>
      </c>
      <c r="G73" s="76">
        <v>146.85</v>
      </c>
      <c r="H73" s="76">
        <v>149.75</v>
      </c>
      <c r="I73" s="77">
        <v>151.45</v>
      </c>
      <c r="J73" s="78" t="s">
        <v>551</v>
      </c>
      <c r="K73" s="79"/>
      <c r="L73" s="75" t="s">
        <v>6</v>
      </c>
      <c r="M73" s="76">
        <v>151.1</v>
      </c>
      <c r="N73" s="80">
        <v>151.3</v>
      </c>
      <c r="O73" s="79"/>
      <c r="P73" s="81">
        <v>180.0</v>
      </c>
      <c r="Q73" s="81">
        <v>187.45222048551597</v>
      </c>
      <c r="R73" s="81">
        <v>181.88089505692517</v>
      </c>
      <c r="S73" s="72"/>
      <c r="T73" s="81"/>
      <c r="U73" s="79"/>
      <c r="V73" s="81">
        <v>200.0</v>
      </c>
      <c r="W73" s="81">
        <v>205.0</v>
      </c>
      <c r="X73" s="72"/>
      <c r="Y73" s="81">
        <v>200.0</v>
      </c>
      <c r="Z73" s="81">
        <v>180.0</v>
      </c>
      <c r="AA73" s="72"/>
      <c r="AB73" s="72" t="str">
        <f t="shared" si="1"/>
        <v>1</v>
      </c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</row>
    <row r="74" ht="15.0" customHeight="1">
      <c r="A74" s="72" t="str">
        <f>COUNTIFS(NIFTY!$B$7:$B$56,Summary!B74)</f>
        <v>0</v>
      </c>
      <c r="B74" s="73" t="str">
        <f>HYPERLINK("C:\Users\Natik\Desktop\_\All Stock Work\Max Pain Analysis\Stocks\HINDPETRO - HINDUSTAN PETROLEUM CORPORATION LIMITED.xlsx","HINDPETRO")</f>
        <v>HINDPETRO</v>
      </c>
      <c r="C74" s="74" t="s">
        <v>226</v>
      </c>
      <c r="D74" s="75">
        <v>197.55</v>
      </c>
      <c r="E74" s="76">
        <v>200.7</v>
      </c>
      <c r="F74" s="76">
        <v>204.25</v>
      </c>
      <c r="G74" s="76">
        <v>193.05</v>
      </c>
      <c r="H74" s="76">
        <v>194.95</v>
      </c>
      <c r="I74" s="77">
        <v>195.0</v>
      </c>
      <c r="J74" s="78" t="s">
        <v>552</v>
      </c>
      <c r="K74" s="79"/>
      <c r="L74" s="75">
        <v>204.1</v>
      </c>
      <c r="M74" s="76">
        <v>192.0</v>
      </c>
      <c r="N74" s="80">
        <v>192.05</v>
      </c>
      <c r="O74" s="79"/>
      <c r="P74" s="81">
        <v>240.0</v>
      </c>
      <c r="Q74" s="81">
        <v>241.6143860958244</v>
      </c>
      <c r="R74" s="81">
        <v>234.5593020307633</v>
      </c>
      <c r="S74" s="72"/>
      <c r="T74" s="81"/>
      <c r="U74" s="79"/>
      <c r="V74" s="81">
        <v>250.0</v>
      </c>
      <c r="W74" s="81">
        <v>240.0</v>
      </c>
      <c r="X74" s="72"/>
      <c r="Y74" s="81">
        <v>240.0</v>
      </c>
      <c r="Z74" s="81">
        <v>250.0</v>
      </c>
      <c r="AA74" s="72"/>
      <c r="AB74" s="72" t="str">
        <f t="shared" si="1"/>
        <v>1</v>
      </c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</row>
    <row r="75" ht="15.0" customHeight="1">
      <c r="A75" s="72" t="str">
        <f>COUNTIFS(NIFTY!$B$7:$B$56,Summary!B75)</f>
        <v>1</v>
      </c>
      <c r="B75" s="73" t="str">
        <f>HYPERLINK("C:\Users\Natik\Desktop\_\All Stock Work\Max Pain Analysis\Stocks\HINDUNILVR - HINDUSTAN UNILEVER LIMITED.xlsx","HINDUNILVR")</f>
        <v>HINDUNILVR</v>
      </c>
      <c r="C75" s="74" t="s">
        <v>229</v>
      </c>
      <c r="D75" s="75">
        <v>2174.75</v>
      </c>
      <c r="E75" s="76">
        <v>2190.0</v>
      </c>
      <c r="F75" s="76">
        <v>2241.95</v>
      </c>
      <c r="G75" s="76">
        <v>2141.85</v>
      </c>
      <c r="H75" s="76">
        <v>2159.45</v>
      </c>
      <c r="I75" s="77">
        <v>2167.9</v>
      </c>
      <c r="J75" s="78" t="s">
        <v>553</v>
      </c>
      <c r="K75" s="79"/>
      <c r="L75" s="75" t="s">
        <v>6</v>
      </c>
      <c r="M75" s="76">
        <v>2179.0</v>
      </c>
      <c r="N75" s="80">
        <v>2035.05</v>
      </c>
      <c r="O75" s="79"/>
      <c r="P75" s="81">
        <v>2200.0</v>
      </c>
      <c r="Q75" s="81">
        <v>2189.734221863778</v>
      </c>
      <c r="R75" s="81">
        <v>2107.823788248868</v>
      </c>
      <c r="S75" s="72"/>
      <c r="T75" s="81"/>
      <c r="U75" s="79"/>
      <c r="V75" s="81">
        <v>2300.0</v>
      </c>
      <c r="W75" s="81">
        <v>2280.0</v>
      </c>
      <c r="X75" s="72"/>
      <c r="Y75" s="81">
        <v>2200.0</v>
      </c>
      <c r="Z75" s="81">
        <v>2220.0</v>
      </c>
      <c r="AA75" s="72"/>
      <c r="AB75" s="72" t="str">
        <f t="shared" si="1"/>
        <v>1</v>
      </c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</row>
    <row r="76" ht="15.0" customHeight="1">
      <c r="A76" s="72" t="str">
        <f>COUNTIFS(NIFTY!$B$7:$B$56,Summary!B76)</f>
        <v>0</v>
      </c>
      <c r="B76" s="73" t="str">
        <f>HYPERLINK("C:\Users\Natik\Desktop\_\All Stock Work\Max Pain Analysis\Stocks\IBULHSGFIN - INDIABULLS HOUSING FINANCE LIMITED.xlsx","IBULHSGFIN")</f>
        <v>IBULHSGFIN</v>
      </c>
      <c r="C76" s="74" t="s">
        <v>233</v>
      </c>
      <c r="D76" s="75">
        <v>90.2</v>
      </c>
      <c r="E76" s="76">
        <v>85.1</v>
      </c>
      <c r="F76" s="76">
        <v>97.0</v>
      </c>
      <c r="G76" s="76">
        <v>83.2</v>
      </c>
      <c r="H76" s="76">
        <v>95.05</v>
      </c>
      <c r="I76" s="77">
        <v>95.0</v>
      </c>
      <c r="J76" s="78" t="s">
        <v>554</v>
      </c>
      <c r="K76" s="79"/>
      <c r="L76" s="75">
        <v>95.1</v>
      </c>
      <c r="M76" s="76">
        <v>96.15</v>
      </c>
      <c r="N76" s="80">
        <v>96.0</v>
      </c>
      <c r="O76" s="79"/>
      <c r="P76" s="81">
        <v>180.0</v>
      </c>
      <c r="Q76" s="81">
        <v>165.58370856147727</v>
      </c>
      <c r="R76" s="81">
        <v>149.73809658929687</v>
      </c>
      <c r="S76" s="72"/>
      <c r="T76" s="81"/>
      <c r="U76" s="79"/>
      <c r="V76" s="81">
        <v>300.0</v>
      </c>
      <c r="W76" s="81">
        <v>360.0</v>
      </c>
      <c r="X76" s="72"/>
      <c r="Y76" s="81">
        <v>40.0</v>
      </c>
      <c r="Z76" s="81">
        <v>80.0</v>
      </c>
      <c r="AA76" s="72"/>
      <c r="AB76" s="72" t="str">
        <f t="shared" si="1"/>
        <v>1</v>
      </c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</row>
    <row r="77" ht="15.0" customHeight="1">
      <c r="A77" s="72" t="str">
        <f>COUNTIFS(NIFTY!$B$7:$B$56,Summary!B77)</f>
        <v>0</v>
      </c>
      <c r="B77" s="73" t="str">
        <f>HYPERLINK("C:\Users\Natik\Desktop\_\All Stock Work\Max Pain Analysis\Stocks\ICICIPRULI - ICICI PRUDENTIAL LIFE INSURANCE COMPANY LIMITED.xlsx","ICICIPRULI")</f>
        <v>ICICIPRULI</v>
      </c>
      <c r="C77" s="74" t="s">
        <v>236</v>
      </c>
      <c r="D77" s="75">
        <v>471.4</v>
      </c>
      <c r="E77" s="76">
        <v>476.0</v>
      </c>
      <c r="F77" s="76">
        <v>484.55</v>
      </c>
      <c r="G77" s="76">
        <v>448.2</v>
      </c>
      <c r="H77" s="76">
        <v>455.5</v>
      </c>
      <c r="I77" s="77">
        <v>449.9</v>
      </c>
      <c r="J77" s="78" t="s">
        <v>555</v>
      </c>
      <c r="K77" s="79"/>
      <c r="L77" s="75">
        <v>486.15</v>
      </c>
      <c r="M77" s="76">
        <v>449.3</v>
      </c>
      <c r="N77" s="80">
        <v>485.0</v>
      </c>
      <c r="O77" s="79"/>
      <c r="P77" s="81">
        <v>490.0</v>
      </c>
      <c r="Q77" s="81">
        <v>481.31523924675514</v>
      </c>
      <c r="R77" s="81">
        <v>474.96331599659857</v>
      </c>
      <c r="S77" s="72"/>
      <c r="T77" s="81"/>
      <c r="U77" s="79"/>
      <c r="V77" s="81">
        <v>500.0</v>
      </c>
      <c r="W77" s="81">
        <v>520.0</v>
      </c>
      <c r="X77" s="72"/>
      <c r="Y77" s="81">
        <v>400.0</v>
      </c>
      <c r="Z77" s="81">
        <v>480.0</v>
      </c>
      <c r="AA77" s="72"/>
      <c r="AB77" s="72" t="str">
        <f t="shared" si="1"/>
        <v>1</v>
      </c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</row>
    <row r="78" ht="15.0" customHeight="1">
      <c r="A78" s="72" t="str">
        <f>COUNTIFS(NIFTY!$B$7:$B$56,Summary!B78)</f>
        <v>0</v>
      </c>
      <c r="B78" s="73" t="str">
        <f>HYPERLINK("C:\Users\Natik\Desktop\_\All Stock Work\Max Pain Analysis\Stocks\IDEA - VODAFONE IDEA LIMITED.xlsx","IDEA")</f>
        <v>IDEA</v>
      </c>
      <c r="C78" s="74" t="s">
        <v>239</v>
      </c>
      <c r="D78" s="75">
        <v>3.85</v>
      </c>
      <c r="E78" s="76">
        <v>3.9</v>
      </c>
      <c r="F78" s="76">
        <v>4.1</v>
      </c>
      <c r="G78" s="76">
        <v>3.3</v>
      </c>
      <c r="H78" s="76">
        <v>3.45</v>
      </c>
      <c r="I78" s="77">
        <v>3.5</v>
      </c>
      <c r="J78" s="78" t="s">
        <v>556</v>
      </c>
      <c r="K78" s="79"/>
      <c r="L78" s="75" t="s">
        <v>6</v>
      </c>
      <c r="M78" s="76">
        <v>3.45</v>
      </c>
      <c r="N78" s="80">
        <v>3.5</v>
      </c>
      <c r="O78" s="79"/>
      <c r="P78" s="81">
        <v>4.0</v>
      </c>
      <c r="Q78" s="81">
        <v>4.204919308229226</v>
      </c>
      <c r="R78" s="81">
        <v>4.168962401375237</v>
      </c>
      <c r="S78" s="72"/>
      <c r="T78" s="81"/>
      <c r="U78" s="79"/>
      <c r="V78" s="81">
        <v>6.0</v>
      </c>
      <c r="W78" s="81">
        <v>5.0</v>
      </c>
      <c r="X78" s="72"/>
      <c r="Y78" s="81">
        <v>2.0</v>
      </c>
      <c r="Z78" s="81">
        <v>3.0</v>
      </c>
      <c r="AA78" s="72"/>
      <c r="AB78" s="72" t="str">
        <f t="shared" si="1"/>
        <v>1</v>
      </c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</row>
    <row r="79" ht="15.0" customHeight="1">
      <c r="A79" s="72" t="str">
        <f>COUNTIFS(NIFTY!$B$7:$B$56,Summary!B79)</f>
        <v>0</v>
      </c>
      <c r="B79" s="73" t="str">
        <f>HYPERLINK("C:\Users\Natik\Desktop\_\All Stock Work\Max Pain Analysis\Stocks\IGL - INDRAPRASTHA GAS LIMITED.xlsx","IGL")</f>
        <v>IGL</v>
      </c>
      <c r="C79" s="74" t="s">
        <v>242</v>
      </c>
      <c r="D79" s="75">
        <v>442.4</v>
      </c>
      <c r="E79" s="76">
        <v>454.0</v>
      </c>
      <c r="F79" s="76">
        <v>457.8</v>
      </c>
      <c r="G79" s="76">
        <v>429.2</v>
      </c>
      <c r="H79" s="76">
        <v>432.3</v>
      </c>
      <c r="I79" s="77">
        <v>435.0</v>
      </c>
      <c r="J79" s="78" t="s">
        <v>557</v>
      </c>
      <c r="K79" s="79"/>
      <c r="L79" s="75">
        <v>455.5</v>
      </c>
      <c r="M79" s="76">
        <v>436.7</v>
      </c>
      <c r="N79" s="80">
        <v>432.45</v>
      </c>
      <c r="O79" s="79"/>
      <c r="P79" s="81">
        <v>480.0</v>
      </c>
      <c r="Q79" s="81">
        <v>451.33443671355593</v>
      </c>
      <c r="R79" s="81">
        <v>435.90609889438224</v>
      </c>
      <c r="S79" s="72"/>
      <c r="T79" s="81"/>
      <c r="U79" s="79"/>
      <c r="V79" s="81">
        <v>520.0</v>
      </c>
      <c r="W79" s="81">
        <v>500.0</v>
      </c>
      <c r="X79" s="72"/>
      <c r="Y79" s="81">
        <v>450.0</v>
      </c>
      <c r="Z79" s="81">
        <v>450.0</v>
      </c>
      <c r="AA79" s="72"/>
      <c r="AB79" s="72" t="str">
        <f t="shared" si="1"/>
        <v>1</v>
      </c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</row>
    <row r="80" ht="15.0" customHeight="1">
      <c r="A80" s="72" t="str">
        <f>COUNTIFS(NIFTY!$B$7:$B$56,Summary!B80)</f>
        <v>0</v>
      </c>
      <c r="B80" s="73" t="str">
        <f>HYPERLINK("C:\Users\Natik\Desktop\_\All Stock Work\Max Pain Analysis\Stocks\INDIGO - INTERGLOBE AVIATION LIMITED.xlsx","INDIGO")</f>
        <v>INDIGO</v>
      </c>
      <c r="C80" s="74" t="s">
        <v>245</v>
      </c>
      <c r="D80" s="75">
        <v>1300.05</v>
      </c>
      <c r="E80" s="76">
        <v>1313.0</v>
      </c>
      <c r="F80" s="76">
        <v>1347.95</v>
      </c>
      <c r="G80" s="76">
        <v>1213.5</v>
      </c>
      <c r="H80" s="76">
        <v>1239.05</v>
      </c>
      <c r="I80" s="77">
        <v>1240.0</v>
      </c>
      <c r="J80" s="78" t="s">
        <v>558</v>
      </c>
      <c r="K80" s="79"/>
      <c r="L80" s="75">
        <v>1369.15</v>
      </c>
      <c r="M80" s="76">
        <v>1221.0</v>
      </c>
      <c r="N80" s="80">
        <v>1203.95</v>
      </c>
      <c r="O80" s="79"/>
      <c r="P80" s="81">
        <v>1450.0</v>
      </c>
      <c r="Q80" s="81">
        <v>1360.2536710555828</v>
      </c>
      <c r="R80" s="81">
        <v>1293.46674877237</v>
      </c>
      <c r="S80" s="72"/>
      <c r="T80" s="81"/>
      <c r="U80" s="79"/>
      <c r="V80" s="81">
        <v>1500.0</v>
      </c>
      <c r="W80" s="81">
        <v>1600.0</v>
      </c>
      <c r="X80" s="72"/>
      <c r="Y80" s="81">
        <v>1400.0</v>
      </c>
      <c r="Z80" s="81">
        <v>1300.0</v>
      </c>
      <c r="AA80" s="72"/>
      <c r="AB80" s="72" t="str">
        <f t="shared" si="1"/>
        <v>1</v>
      </c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</row>
    <row r="81" ht="15.0" customHeight="1">
      <c r="A81" s="72" t="str">
        <f>COUNTIFS(NIFTY!$B$7:$B$56,Summary!B81)</f>
        <v>1</v>
      </c>
      <c r="B81" s="73" t="str">
        <f>HYPERLINK("C:\Users\Natik\Desktop\_\All Stock Work\Max Pain Analysis\Stocks\INFRATEL - BHARTI INFRATEL LIMITED.xlsx","INFRATEL")</f>
        <v>INFRATEL</v>
      </c>
      <c r="C81" s="74" t="s">
        <v>248</v>
      </c>
      <c r="D81" s="75">
        <v>214.45</v>
      </c>
      <c r="E81" s="76">
        <v>216.0</v>
      </c>
      <c r="F81" s="76">
        <v>226.25</v>
      </c>
      <c r="G81" s="76">
        <v>210.2</v>
      </c>
      <c r="H81" s="76">
        <v>216.85</v>
      </c>
      <c r="I81" s="77">
        <v>216.9</v>
      </c>
      <c r="J81" s="78" t="s">
        <v>559</v>
      </c>
      <c r="K81" s="79"/>
      <c r="L81" s="75">
        <v>212.75</v>
      </c>
      <c r="M81" s="76">
        <v>217.75</v>
      </c>
      <c r="N81" s="80">
        <v>217.75</v>
      </c>
      <c r="O81" s="79"/>
      <c r="P81" s="81">
        <v>230.0</v>
      </c>
      <c r="Q81" s="81">
        <v>233.66257264584948</v>
      </c>
      <c r="R81" s="81">
        <v>239.8620871430389</v>
      </c>
      <c r="S81" s="72"/>
      <c r="T81" s="81"/>
      <c r="U81" s="79"/>
      <c r="V81" s="81">
        <v>310.0</v>
      </c>
      <c r="W81" s="81">
        <v>240.0</v>
      </c>
      <c r="X81" s="72"/>
      <c r="Y81" s="81">
        <v>240.0</v>
      </c>
      <c r="Z81" s="81">
        <v>180.0</v>
      </c>
      <c r="AA81" s="72"/>
      <c r="AB81" s="72" t="str">
        <f t="shared" si="1"/>
        <v>1</v>
      </c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</row>
    <row r="82" ht="15.0" customHeight="1">
      <c r="A82" s="72" t="str">
        <f>COUNTIFS(NIFTY!$B$7:$B$56,Summary!B82)</f>
        <v>1</v>
      </c>
      <c r="B82" s="73" t="str">
        <f>HYPERLINK("C:\Users\Natik\Desktop\_\All Stock Work\Max Pain Analysis\Stocks\INFY - INFOSYS LIMITED.xlsx","INFY")</f>
        <v>INFY</v>
      </c>
      <c r="C82" s="74" t="s">
        <v>251</v>
      </c>
      <c r="D82" s="75">
        <v>731.7</v>
      </c>
      <c r="E82" s="76">
        <v>737.0</v>
      </c>
      <c r="F82" s="76">
        <v>765.9</v>
      </c>
      <c r="G82" s="76">
        <v>733.75</v>
      </c>
      <c r="H82" s="76">
        <v>741.05</v>
      </c>
      <c r="I82" s="77">
        <v>739.4</v>
      </c>
      <c r="J82" s="78" t="s">
        <v>560</v>
      </c>
      <c r="K82" s="79"/>
      <c r="L82" s="75">
        <v>741.9</v>
      </c>
      <c r="M82" s="76">
        <v>744.55</v>
      </c>
      <c r="N82" s="80">
        <v>741.9</v>
      </c>
      <c r="O82" s="79"/>
      <c r="P82" s="81">
        <v>800.0</v>
      </c>
      <c r="Q82" s="81">
        <v>736.6665494938132</v>
      </c>
      <c r="R82" s="81">
        <v>858.5831844298999</v>
      </c>
      <c r="S82" s="72"/>
      <c r="T82" s="81"/>
      <c r="U82" s="79"/>
      <c r="V82" s="81">
        <v>760.0</v>
      </c>
      <c r="W82" s="81">
        <v>800.0</v>
      </c>
      <c r="X82" s="72"/>
      <c r="Y82" s="81">
        <v>720.0</v>
      </c>
      <c r="Z82" s="81">
        <v>700.0</v>
      </c>
      <c r="AA82" s="72"/>
      <c r="AB82" s="72" t="str">
        <f t="shared" si="1"/>
        <v>0</v>
      </c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</row>
    <row r="83" ht="15.0" customHeight="1">
      <c r="A83" s="72" t="str">
        <f>COUNTIFS(NIFTY!$B$7:$B$56,Summary!B83)</f>
        <v>1</v>
      </c>
      <c r="B83" s="73" t="str">
        <f>HYPERLINK("C:\Users\Natik\Desktop\_\All Stock Work\Max Pain Analysis\Stocks\IOC - INDIAN OIL CORPORATION LIMITED.xlsx","IOC")</f>
        <v>IOC</v>
      </c>
      <c r="C83" s="74" t="s">
        <v>255</v>
      </c>
      <c r="D83" s="75">
        <v>79.7</v>
      </c>
      <c r="E83" s="76">
        <v>77.8</v>
      </c>
      <c r="F83" s="76">
        <v>80.95</v>
      </c>
      <c r="G83" s="76">
        <v>77.0</v>
      </c>
      <c r="H83" s="76">
        <v>77.85</v>
      </c>
      <c r="I83" s="77">
        <v>77.25</v>
      </c>
      <c r="J83" s="78" t="s">
        <v>561</v>
      </c>
      <c r="K83" s="79"/>
      <c r="L83" s="75">
        <v>77.4</v>
      </c>
      <c r="M83" s="76">
        <v>78.0</v>
      </c>
      <c r="N83" s="80">
        <v>78.1</v>
      </c>
      <c r="O83" s="79"/>
      <c r="P83" s="81">
        <v>97.5</v>
      </c>
      <c r="Q83" s="81">
        <v>92.59886174510952</v>
      </c>
      <c r="R83" s="81">
        <v>86.07862413187725</v>
      </c>
      <c r="S83" s="72"/>
      <c r="T83" s="81"/>
      <c r="U83" s="79"/>
      <c r="V83" s="81">
        <v>120.0</v>
      </c>
      <c r="W83" s="81">
        <v>110.0</v>
      </c>
      <c r="X83" s="72"/>
      <c r="Y83" s="81">
        <v>100.0</v>
      </c>
      <c r="Z83" s="81">
        <v>105.0</v>
      </c>
      <c r="AA83" s="72"/>
      <c r="AB83" s="72" t="str">
        <f t="shared" si="1"/>
        <v>1</v>
      </c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</row>
    <row r="84" ht="15.0" customHeight="1">
      <c r="A84" s="72" t="str">
        <f>COUNTIFS(NIFTY!$B$7:$B$56,Summary!B84)</f>
        <v>1</v>
      </c>
      <c r="B84" s="73" t="str">
        <f>HYPERLINK("C:\Users\Natik\Desktop\_\All Stock Work\Max Pain Analysis\Stocks\ITC - ITC LIMITED.xlsx","ITC")</f>
        <v>ITC</v>
      </c>
      <c r="C84" s="74" t="s">
        <v>258</v>
      </c>
      <c r="D84" s="75">
        <v>149.7</v>
      </c>
      <c r="E84" s="76">
        <v>151.0</v>
      </c>
      <c r="F84" s="76">
        <v>152.0</v>
      </c>
      <c r="G84" s="76">
        <v>139.0</v>
      </c>
      <c r="H84" s="76">
        <v>147.35</v>
      </c>
      <c r="I84" s="77">
        <v>147.05</v>
      </c>
      <c r="J84" s="78" t="s">
        <v>562</v>
      </c>
      <c r="K84" s="79"/>
      <c r="L84" s="75">
        <v>147.45</v>
      </c>
      <c r="M84" s="76">
        <v>148.55</v>
      </c>
      <c r="N84" s="80">
        <v>149.0</v>
      </c>
      <c r="O84" s="79"/>
      <c r="P84" s="81">
        <v>180.0</v>
      </c>
      <c r="Q84" s="81">
        <v>169.44628372705628</v>
      </c>
      <c r="R84" s="81">
        <v>158.114250625377</v>
      </c>
      <c r="S84" s="72"/>
      <c r="T84" s="81"/>
      <c r="U84" s="79"/>
      <c r="V84" s="81">
        <v>200.0</v>
      </c>
      <c r="W84" s="81">
        <v>190.0</v>
      </c>
      <c r="X84" s="72"/>
      <c r="Y84" s="81">
        <v>190.0</v>
      </c>
      <c r="Z84" s="81">
        <v>130.0</v>
      </c>
      <c r="AA84" s="72"/>
      <c r="AB84" s="72" t="str">
        <f t="shared" si="1"/>
        <v>1</v>
      </c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</row>
    <row r="85" ht="15.0" customHeight="1">
      <c r="A85" s="72" t="str">
        <f>COUNTIFS(NIFTY!$B$7:$B$56,Summary!B85)</f>
        <v>0</v>
      </c>
      <c r="B85" s="73" t="str">
        <f>HYPERLINK("C:\Users\Natik\Desktop\_\All Stock Work\Max Pain Analysis\Stocks\JINDALSTEL - JINDAL STEEL &amp; POWER LIMITED.xlsx","JINDALSTEL")</f>
        <v>JINDALSTEL</v>
      </c>
      <c r="C85" s="74" t="s">
        <v>262</v>
      </c>
      <c r="D85" s="75">
        <v>90.4</v>
      </c>
      <c r="E85" s="76">
        <v>88.0</v>
      </c>
      <c r="F85" s="76">
        <v>94.9</v>
      </c>
      <c r="G85" s="76">
        <v>87.25</v>
      </c>
      <c r="H85" s="76">
        <v>92.2</v>
      </c>
      <c r="I85" s="77">
        <v>91.25</v>
      </c>
      <c r="J85" s="78" t="s">
        <v>563</v>
      </c>
      <c r="K85" s="79"/>
      <c r="L85" s="75">
        <v>91.0</v>
      </c>
      <c r="M85" s="76">
        <v>94.25</v>
      </c>
      <c r="N85" s="80">
        <v>104.5</v>
      </c>
      <c r="O85" s="79"/>
      <c r="P85" s="81">
        <v>125.0</v>
      </c>
      <c r="Q85" s="81">
        <v>120.58281396452874</v>
      </c>
      <c r="R85" s="81">
        <v>113.44218810838048</v>
      </c>
      <c r="S85" s="72"/>
      <c r="T85" s="81"/>
      <c r="U85" s="79"/>
      <c r="V85" s="81">
        <v>200.0</v>
      </c>
      <c r="W85" s="81">
        <v>160.0</v>
      </c>
      <c r="X85" s="72"/>
      <c r="Y85" s="81">
        <v>95.0</v>
      </c>
      <c r="Z85" s="81">
        <v>135.0</v>
      </c>
      <c r="AA85" s="72"/>
      <c r="AB85" s="72" t="str">
        <f t="shared" si="1"/>
        <v>1</v>
      </c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</row>
    <row r="86" ht="15.0" customHeight="1">
      <c r="A86" s="72" t="str">
        <f>COUNTIFS(NIFTY!$B$7:$B$56,Summary!B86)</f>
        <v>1</v>
      </c>
      <c r="B86" s="73" t="str">
        <f>HYPERLINK("C:\Users\Natik\Desktop\_\All Stock Work\Max Pain Analysis\Stocks\JSWSTEEL - JSW STEEL LIMITED.xlsx","JSWSTEEL")</f>
        <v>JSWSTEEL</v>
      </c>
      <c r="C86" s="74" t="s">
        <v>265</v>
      </c>
      <c r="D86" s="75">
        <v>235.7</v>
      </c>
      <c r="E86" s="76">
        <v>242.2</v>
      </c>
      <c r="F86" s="76">
        <v>246.5</v>
      </c>
      <c r="G86" s="76">
        <v>230.85</v>
      </c>
      <c r="H86" s="76">
        <v>235.0</v>
      </c>
      <c r="I86" s="77">
        <v>234.55</v>
      </c>
      <c r="J86" s="78" t="s">
        <v>564</v>
      </c>
      <c r="K86" s="79"/>
      <c r="L86" s="75">
        <v>235.9</v>
      </c>
      <c r="M86" s="76">
        <v>235.2</v>
      </c>
      <c r="N86" s="80">
        <v>254.3</v>
      </c>
      <c r="O86" s="79"/>
      <c r="P86" s="81">
        <v>255.0</v>
      </c>
      <c r="Q86" s="81">
        <v>249.5497044713455</v>
      </c>
      <c r="R86" s="81">
        <v>233.40850063374225</v>
      </c>
      <c r="S86" s="72"/>
      <c r="T86" s="81"/>
      <c r="U86" s="79"/>
      <c r="V86" s="81">
        <v>330.0</v>
      </c>
      <c r="W86" s="81">
        <v>240.0</v>
      </c>
      <c r="X86" s="72"/>
      <c r="Y86" s="81">
        <v>270.0</v>
      </c>
      <c r="Z86" s="81">
        <v>220.0</v>
      </c>
      <c r="AA86" s="72"/>
      <c r="AB86" s="72" t="str">
        <f t="shared" si="1"/>
        <v>1</v>
      </c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</row>
    <row r="87" ht="15.0" customHeight="1">
      <c r="A87" s="72" t="str">
        <f>COUNTIFS(NIFTY!$B$7:$B$56,Summary!B87)</f>
        <v>0</v>
      </c>
      <c r="B87" s="73" t="str">
        <f>HYPERLINK("C:\Users\Natik\Desktop\_\All Stock Work\Max Pain Analysis\Stocks\JUBLFOOD - JUBILANT FOODWORKS LIMITED.xlsx","JUBLFOOD")</f>
        <v>JUBLFOOD</v>
      </c>
      <c r="C87" s="74" t="s">
        <v>268</v>
      </c>
      <c r="D87" s="75">
        <v>1756.85</v>
      </c>
      <c r="E87" s="76">
        <v>1787.0</v>
      </c>
      <c r="F87" s="76">
        <v>1793.9</v>
      </c>
      <c r="G87" s="76">
        <v>1636.0</v>
      </c>
      <c r="H87" s="76">
        <v>1668.0</v>
      </c>
      <c r="I87" s="77">
        <v>1654.95</v>
      </c>
      <c r="J87" s="78" t="s">
        <v>565</v>
      </c>
      <c r="K87" s="79"/>
      <c r="L87" s="75">
        <v>1648.95</v>
      </c>
      <c r="M87" s="76">
        <v>1650.0</v>
      </c>
      <c r="N87" s="80">
        <v>1848.0</v>
      </c>
      <c r="O87" s="79"/>
      <c r="P87" s="81">
        <v>2200.0</v>
      </c>
      <c r="Q87" s="81">
        <v>1702.070024340326</v>
      </c>
      <c r="R87" s="81">
        <v>2599.2699072882865</v>
      </c>
      <c r="S87" s="72"/>
      <c r="T87" s="81"/>
      <c r="U87" s="79"/>
      <c r="V87" s="81">
        <v>1580.0</v>
      </c>
      <c r="W87" s="81">
        <v>1900.0</v>
      </c>
      <c r="X87" s="72"/>
      <c r="Y87" s="81">
        <v>1600.0</v>
      </c>
      <c r="Z87" s="81">
        <v>1800.0</v>
      </c>
      <c r="AA87" s="72"/>
      <c r="AB87" s="72" t="str">
        <f t="shared" si="1"/>
        <v>1</v>
      </c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</row>
    <row r="88" ht="15.0" customHeight="1">
      <c r="A88" s="72" t="str">
        <f>COUNTIFS(NIFTY!$B$7:$B$56,Summary!B88)</f>
        <v>0</v>
      </c>
      <c r="B88" s="73" t="str">
        <f>HYPERLINK("C:\Users\Natik\Desktop\_\All Stock Work\Max Pain Analysis\Stocks\JUSTDIAL - JUST DIAL LIMITED.xlsx","JUSTDIAL")</f>
        <v>JUSTDIAL</v>
      </c>
      <c r="C88" s="74" t="s">
        <v>271</v>
      </c>
      <c r="D88" s="75">
        <v>466.1</v>
      </c>
      <c r="E88" s="76">
        <v>473.0</v>
      </c>
      <c r="F88" s="76">
        <v>494.3</v>
      </c>
      <c r="G88" s="76">
        <v>470.0</v>
      </c>
      <c r="H88" s="76">
        <v>477.0</v>
      </c>
      <c r="I88" s="77">
        <v>477.0</v>
      </c>
      <c r="J88" s="78" t="s">
        <v>566</v>
      </c>
      <c r="K88" s="79"/>
      <c r="L88" s="75">
        <v>475.05</v>
      </c>
      <c r="M88" s="76">
        <v>475.25</v>
      </c>
      <c r="N88" s="80" t="s">
        <v>524</v>
      </c>
      <c r="O88" s="79"/>
      <c r="P88" s="81">
        <v>580.0</v>
      </c>
      <c r="Q88" s="81">
        <v>580.8522848944281</v>
      </c>
      <c r="R88" s="81">
        <v>563.7225928466031</v>
      </c>
      <c r="S88" s="72"/>
      <c r="T88" s="81"/>
      <c r="U88" s="79"/>
      <c r="V88" s="81">
        <v>900.0</v>
      </c>
      <c r="W88" s="81">
        <v>840.0</v>
      </c>
      <c r="X88" s="72"/>
      <c r="Y88" s="81">
        <v>600.0</v>
      </c>
      <c r="Z88" s="81">
        <v>500.0</v>
      </c>
      <c r="AA88" s="72"/>
      <c r="AB88" s="72" t="str">
        <f t="shared" si="1"/>
        <v>1</v>
      </c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</row>
    <row r="89" ht="15.0" customHeight="1">
      <c r="A89" s="72" t="str">
        <f>COUNTIFS(NIFTY!$B$7:$B$56,Summary!B89)</f>
        <v>0</v>
      </c>
      <c r="B89" s="73" t="str">
        <f>HYPERLINK("C:\Users\Natik\Desktop\_\All Stock Work\Max Pain Analysis\Stocks\L%26TFH - L&amp;T FINANCE HOLDINGS LIMITED.xlsx","L%26TFH")</f>
        <v>L%26TFH</v>
      </c>
      <c r="C89" s="74" t="s">
        <v>274</v>
      </c>
      <c r="D89" s="75">
        <v>99.95</v>
      </c>
      <c r="E89" s="76">
        <v>103.0</v>
      </c>
      <c r="F89" s="76">
        <v>107.25</v>
      </c>
      <c r="G89" s="76">
        <v>101.25</v>
      </c>
      <c r="H89" s="76">
        <v>102.7</v>
      </c>
      <c r="I89" s="77">
        <v>102.65</v>
      </c>
      <c r="J89" s="78" t="s">
        <v>567</v>
      </c>
      <c r="K89" s="79"/>
      <c r="L89" s="75">
        <v>102.55</v>
      </c>
      <c r="M89" s="76">
        <v>102.3</v>
      </c>
      <c r="N89" s="80">
        <v>114.5</v>
      </c>
      <c r="O89" s="79"/>
      <c r="P89" s="81">
        <v>110.0</v>
      </c>
      <c r="Q89" s="81">
        <v>101.83245890688944</v>
      </c>
      <c r="R89" s="81">
        <v>97.985707137685</v>
      </c>
      <c r="S89" s="72"/>
      <c r="T89" s="81"/>
      <c r="U89" s="79"/>
      <c r="V89" s="81">
        <v>120.0</v>
      </c>
      <c r="W89" s="81">
        <v>110.0</v>
      </c>
      <c r="X89" s="72"/>
      <c r="Y89" s="81">
        <v>90.0</v>
      </c>
      <c r="Z89" s="81">
        <v>100.0</v>
      </c>
      <c r="AA89" s="72"/>
      <c r="AB89" s="72" t="str">
        <f t="shared" si="1"/>
        <v>0</v>
      </c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</row>
    <row r="90" ht="15.0" customHeight="1">
      <c r="A90" s="72" t="str">
        <f>COUNTIFS(NIFTY!$B$7:$B$56,Summary!B90)</f>
        <v>0</v>
      </c>
      <c r="B90" s="73" t="str">
        <f>HYPERLINK("C:\Users\Natik\Desktop\_\All Stock Work\Max Pain Analysis\Stocks\LICHSGFIN - LIC HOUSING FINANCE LIMITED.xlsx","LICHSGFIN")</f>
        <v>LICHSGFIN</v>
      </c>
      <c r="C90" s="74" t="s">
        <v>277</v>
      </c>
      <c r="D90" s="75">
        <v>320.25</v>
      </c>
      <c r="E90" s="76">
        <v>327.25</v>
      </c>
      <c r="F90" s="76">
        <v>335.5</v>
      </c>
      <c r="G90" s="76">
        <v>318.0</v>
      </c>
      <c r="H90" s="76">
        <v>322.45</v>
      </c>
      <c r="I90" s="77">
        <v>325.1</v>
      </c>
      <c r="J90" s="78" t="s">
        <v>568</v>
      </c>
      <c r="K90" s="79"/>
      <c r="L90" s="75">
        <v>325.1</v>
      </c>
      <c r="M90" s="76">
        <v>326.75</v>
      </c>
      <c r="N90" s="80">
        <v>323.55</v>
      </c>
      <c r="O90" s="79"/>
      <c r="P90" s="81">
        <v>340.0</v>
      </c>
      <c r="Q90" s="81">
        <v>324.78572975793134</v>
      </c>
      <c r="R90" s="81">
        <v>318.5416338288137</v>
      </c>
      <c r="S90" s="72"/>
      <c r="T90" s="81"/>
      <c r="U90" s="79"/>
      <c r="V90" s="81">
        <v>400.0</v>
      </c>
      <c r="W90" s="81">
        <v>350.0</v>
      </c>
      <c r="X90" s="72"/>
      <c r="Y90" s="81">
        <v>320.0</v>
      </c>
      <c r="Z90" s="81">
        <v>300.0</v>
      </c>
      <c r="AA90" s="72"/>
      <c r="AB90" s="72" t="str">
        <f t="shared" si="1"/>
        <v>0</v>
      </c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</row>
    <row r="91" ht="15.0" customHeight="1">
      <c r="A91" s="72" t="str">
        <f>COUNTIFS(NIFTY!$B$7:$B$56,Summary!B91)</f>
        <v>1</v>
      </c>
      <c r="B91" s="73" t="str">
        <f>HYPERLINK("C:\Users\Natik\Desktop\_\All Stock Work\Max Pain Analysis\Stocks\LT - LARSEN &amp; TOUBRO LIMITED.xlsx","LT")</f>
        <v>LT</v>
      </c>
      <c r="C91" s="74" t="s">
        <v>280</v>
      </c>
      <c r="D91" s="75">
        <v>1187.55</v>
      </c>
      <c r="E91" s="76">
        <v>1205.0</v>
      </c>
      <c r="F91" s="76">
        <v>1212.35</v>
      </c>
      <c r="G91" s="76">
        <v>1150.55</v>
      </c>
      <c r="H91" s="76">
        <v>1160.9</v>
      </c>
      <c r="I91" s="77">
        <v>1153.9</v>
      </c>
      <c r="J91" s="78" t="s">
        <v>569</v>
      </c>
      <c r="K91" s="79"/>
      <c r="L91" s="75">
        <v>1157.05</v>
      </c>
      <c r="M91" s="76">
        <v>1165.0</v>
      </c>
      <c r="N91" s="80">
        <v>1165.0</v>
      </c>
      <c r="O91" s="79"/>
      <c r="P91" s="81">
        <v>1240.0</v>
      </c>
      <c r="Q91" s="81">
        <v>1220.6714315043437</v>
      </c>
      <c r="R91" s="81">
        <v>1133.503641396071</v>
      </c>
      <c r="S91" s="72"/>
      <c r="T91" s="81"/>
      <c r="U91" s="79"/>
      <c r="V91" s="81">
        <v>1300.0</v>
      </c>
      <c r="W91" s="81">
        <v>1240.0</v>
      </c>
      <c r="X91" s="72"/>
      <c r="Y91" s="81">
        <v>1200.0</v>
      </c>
      <c r="Z91" s="81">
        <v>1180.0</v>
      </c>
      <c r="AA91" s="72"/>
      <c r="AB91" s="72" t="str">
        <f t="shared" si="1"/>
        <v>1</v>
      </c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</row>
    <row r="92" ht="15.0" customHeight="1">
      <c r="A92" s="72" t="str">
        <f>COUNTIFS(NIFTY!$B$7:$B$56,Summary!B92)</f>
        <v>0</v>
      </c>
      <c r="B92" s="73" t="str">
        <f>HYPERLINK("C:\Users\Natik\Desktop\_\All Stock Work\Max Pain Analysis\Stocks\LUPIN - LUPIN LIMITED.xlsx","LUPIN")</f>
        <v>LUPIN</v>
      </c>
      <c r="C92" s="74" t="s">
        <v>284</v>
      </c>
      <c r="D92" s="75">
        <v>640.0</v>
      </c>
      <c r="E92" s="76">
        <v>645.0</v>
      </c>
      <c r="F92" s="76">
        <v>652.3</v>
      </c>
      <c r="G92" s="76">
        <v>620.5</v>
      </c>
      <c r="H92" s="76">
        <v>629.8</v>
      </c>
      <c r="I92" s="77">
        <v>628.25</v>
      </c>
      <c r="J92" s="78" t="s">
        <v>570</v>
      </c>
      <c r="K92" s="79"/>
      <c r="L92" s="75">
        <v>631.0</v>
      </c>
      <c r="M92" s="76">
        <v>633.3</v>
      </c>
      <c r="N92" s="80" t="s">
        <v>524</v>
      </c>
      <c r="O92" s="79"/>
      <c r="P92" s="81">
        <v>700.0</v>
      </c>
      <c r="Q92" s="81">
        <v>697.3547454431175</v>
      </c>
      <c r="R92" s="81">
        <v>641.5667959383505</v>
      </c>
      <c r="S92" s="72"/>
      <c r="T92" s="81"/>
      <c r="U92" s="79"/>
      <c r="V92" s="81">
        <v>700.0</v>
      </c>
      <c r="W92" s="81">
        <v>720.0</v>
      </c>
      <c r="X92" s="72"/>
      <c r="Y92" s="81">
        <v>700.0</v>
      </c>
      <c r="Z92" s="81">
        <v>680.0</v>
      </c>
      <c r="AA92" s="72"/>
      <c r="AB92" s="72" t="str">
        <f t="shared" si="1"/>
        <v>1</v>
      </c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</row>
    <row r="93" ht="15.0" customHeight="1">
      <c r="A93" s="72" t="str">
        <f>COUNTIFS(NIFTY!$B$7:$B$56,Summary!B93)</f>
        <v>1</v>
      </c>
      <c r="B93" s="73" t="str">
        <f>HYPERLINK("C:\Users\Natik\Desktop\_\All Stock Work\Max Pain Analysis\Stocks\M%26M - MAHINDRA &amp; MAHINDRA LIMITED.xlsx","M%26M")</f>
        <v>M%26M</v>
      </c>
      <c r="C93" s="74" t="s">
        <v>287</v>
      </c>
      <c r="D93" s="75">
        <v>457.05</v>
      </c>
      <c r="E93" s="76">
        <v>453.55</v>
      </c>
      <c r="F93" s="76">
        <v>472.45</v>
      </c>
      <c r="G93" s="76">
        <v>444.35</v>
      </c>
      <c r="H93" s="76">
        <v>458.3</v>
      </c>
      <c r="I93" s="77">
        <v>461.9</v>
      </c>
      <c r="J93" s="78" t="s">
        <v>571</v>
      </c>
      <c r="K93" s="79"/>
      <c r="L93" s="75">
        <v>458.4</v>
      </c>
      <c r="M93" s="76">
        <v>461.1</v>
      </c>
      <c r="N93" s="80">
        <v>506.5</v>
      </c>
      <c r="O93" s="79"/>
      <c r="P93" s="81">
        <v>500.0</v>
      </c>
      <c r="Q93" s="81">
        <v>490.8906862960499</v>
      </c>
      <c r="R93" s="81">
        <v>459.49432457233956</v>
      </c>
      <c r="S93" s="72"/>
      <c r="T93" s="81"/>
      <c r="U93" s="79"/>
      <c r="V93" s="81">
        <v>500.0</v>
      </c>
      <c r="W93" s="81">
        <v>520.0</v>
      </c>
      <c r="X93" s="72"/>
      <c r="Y93" s="81">
        <v>460.0</v>
      </c>
      <c r="Z93" s="81">
        <v>450.0</v>
      </c>
      <c r="AA93" s="72"/>
      <c r="AB93" s="72" t="str">
        <f t="shared" si="1"/>
        <v>1</v>
      </c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</row>
    <row r="94" ht="15.0" customHeight="1">
      <c r="A94" s="72" t="str">
        <f>COUNTIFS(NIFTY!$B$7:$B$56,Summary!B94)</f>
        <v>0</v>
      </c>
      <c r="B94" s="73" t="str">
        <f>HYPERLINK("C:\Users\Natik\Desktop\_\All Stock Work\Max Pain Analysis\Stocks\MANAPPURAM - MANAPPURAM FINANCE LIMITED.xlsx","MANAPPURAM")</f>
        <v>MANAPPURAM</v>
      </c>
      <c r="C94" s="74" t="s">
        <v>290</v>
      </c>
      <c r="D94" s="75">
        <v>162.75</v>
      </c>
      <c r="E94" s="76">
        <v>165.4</v>
      </c>
      <c r="F94" s="76">
        <v>168.3</v>
      </c>
      <c r="G94" s="76">
        <v>159.0</v>
      </c>
      <c r="H94" s="76">
        <v>160.5</v>
      </c>
      <c r="I94" s="77">
        <v>161.7</v>
      </c>
      <c r="J94" s="78" t="s">
        <v>572</v>
      </c>
      <c r="K94" s="79"/>
      <c r="L94" s="75">
        <v>160.5</v>
      </c>
      <c r="M94" s="76">
        <v>161.85</v>
      </c>
      <c r="N94" s="80">
        <v>173.5</v>
      </c>
      <c r="O94" s="79"/>
      <c r="P94" s="81">
        <v>180.0</v>
      </c>
      <c r="Q94" s="81">
        <v>163.78915771016722</v>
      </c>
      <c r="R94" s="81">
        <v>186.76824883743473</v>
      </c>
      <c r="S94" s="72"/>
      <c r="T94" s="81"/>
      <c r="U94" s="79"/>
      <c r="V94" s="81">
        <v>175.0</v>
      </c>
      <c r="W94" s="81">
        <v>180.0</v>
      </c>
      <c r="X94" s="72"/>
      <c r="Y94" s="81">
        <v>175.0</v>
      </c>
      <c r="Z94" s="81">
        <v>160.0</v>
      </c>
      <c r="AA94" s="72"/>
      <c r="AB94" s="72" t="str">
        <f t="shared" si="1"/>
        <v>1</v>
      </c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</row>
    <row r="95" ht="15.0" customHeight="1">
      <c r="A95" s="72" t="str">
        <f>COUNTIFS(NIFTY!$B$7:$B$56,Summary!B95)</f>
        <v>0</v>
      </c>
      <c r="B95" s="73" t="str">
        <f>HYPERLINK("C:\Users\Natik\Desktop\_\All Stock Work\Max Pain Analysis\Stocks\MARICO - MARICO LIMITED.xlsx","MARICO")</f>
        <v>MARICO</v>
      </c>
      <c r="C95" s="74" t="s">
        <v>293</v>
      </c>
      <c r="D95" s="75">
        <v>298.75</v>
      </c>
      <c r="E95" s="76">
        <v>302.0</v>
      </c>
      <c r="F95" s="76">
        <v>311.4</v>
      </c>
      <c r="G95" s="76">
        <v>290.0</v>
      </c>
      <c r="H95" s="76">
        <v>291.25</v>
      </c>
      <c r="I95" s="77">
        <v>291.6</v>
      </c>
      <c r="J95" s="78" t="s">
        <v>573</v>
      </c>
      <c r="K95" s="79"/>
      <c r="L95" s="75">
        <v>293.25</v>
      </c>
      <c r="M95" s="76">
        <v>294.6</v>
      </c>
      <c r="N95" s="80">
        <v>309.15</v>
      </c>
      <c r="O95" s="79"/>
      <c r="P95" s="81">
        <v>300.0</v>
      </c>
      <c r="Q95" s="81">
        <v>301.6146588585239</v>
      </c>
      <c r="R95" s="81">
        <v>297.0721446555276</v>
      </c>
      <c r="S95" s="72"/>
      <c r="T95" s="81"/>
      <c r="U95" s="79"/>
      <c r="V95" s="81">
        <v>445.0</v>
      </c>
      <c r="W95" s="81">
        <v>310.0</v>
      </c>
      <c r="X95" s="72"/>
      <c r="Y95" s="81">
        <v>300.0</v>
      </c>
      <c r="Z95" s="81">
        <v>285.0</v>
      </c>
      <c r="AA95" s="72"/>
      <c r="AB95" s="72" t="str">
        <f t="shared" si="1"/>
        <v>1</v>
      </c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</row>
    <row r="96" ht="15.0" customHeight="1">
      <c r="A96" s="72" t="str">
        <f>COUNTIFS(NIFTY!$B$7:$B$56,Summary!B96)</f>
        <v>1</v>
      </c>
      <c r="B96" s="73" t="str">
        <f>HYPERLINK("C:\Users\Natik\Desktop\_\All Stock Work\Max Pain Analysis\Stocks\MARUTI - MARUTI SUZUKI INDIA LIMITED.xlsx","MARUTI")</f>
        <v>MARUTI</v>
      </c>
      <c r="C96" s="74" t="s">
        <v>296</v>
      </c>
      <c r="D96" s="75">
        <v>6283.1</v>
      </c>
      <c r="E96" s="76">
        <v>6400.95</v>
      </c>
      <c r="F96" s="76">
        <v>6439.55</v>
      </c>
      <c r="G96" s="76">
        <v>6250.0</v>
      </c>
      <c r="H96" s="76">
        <v>6285.15</v>
      </c>
      <c r="I96" s="77">
        <v>6300.0</v>
      </c>
      <c r="J96" s="78" t="s">
        <v>574</v>
      </c>
      <c r="K96" s="79"/>
      <c r="L96" s="75">
        <v>6298.0</v>
      </c>
      <c r="M96" s="76">
        <v>6323.0</v>
      </c>
      <c r="N96" s="80">
        <v>6432.2</v>
      </c>
      <c r="O96" s="79"/>
      <c r="P96" s="81">
        <v>6500.0</v>
      </c>
      <c r="Q96" s="81">
        <v>6379.0670686538615</v>
      </c>
      <c r="R96" s="81">
        <v>6077.445281173283</v>
      </c>
      <c r="S96" s="72"/>
      <c r="T96" s="81"/>
      <c r="U96" s="79"/>
      <c r="V96" s="81">
        <v>7000.0</v>
      </c>
      <c r="W96" s="81">
        <v>6500.0</v>
      </c>
      <c r="X96" s="72"/>
      <c r="Y96" s="81">
        <v>5800.0</v>
      </c>
      <c r="Z96" s="81">
        <v>6000.0</v>
      </c>
      <c r="AA96" s="72"/>
      <c r="AB96" s="72" t="str">
        <f t="shared" si="1"/>
        <v>1</v>
      </c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</row>
    <row r="97" ht="15.0" customHeight="1">
      <c r="A97" s="72" t="str">
        <f>COUNTIFS(NIFTY!$B$7:$B$56,Summary!B97)</f>
        <v>0</v>
      </c>
      <c r="B97" s="73" t="str">
        <f>HYPERLINK("C:\Users\Natik\Desktop\_\All Stock Work\Max Pain Analysis\Stocks\MCDOWELL-N - UNITED SPIRITS LIMITED.xlsx","MCDOWELL-N")</f>
        <v>MCDOWELL-N</v>
      </c>
      <c r="C97" s="74" t="s">
        <v>299</v>
      </c>
      <c r="D97" s="75">
        <v>686.35</v>
      </c>
      <c r="E97" s="76">
        <v>696.9</v>
      </c>
      <c r="F97" s="76">
        <v>702.75</v>
      </c>
      <c r="G97" s="76">
        <v>647.45</v>
      </c>
      <c r="H97" s="76">
        <v>657.45</v>
      </c>
      <c r="I97" s="77">
        <v>660.2</v>
      </c>
      <c r="J97" s="78" t="s">
        <v>575</v>
      </c>
      <c r="K97" s="79"/>
      <c r="L97" s="75">
        <v>662.55</v>
      </c>
      <c r="M97" s="76">
        <v>666.1</v>
      </c>
      <c r="N97" s="80">
        <v>694.0</v>
      </c>
      <c r="O97" s="79"/>
      <c r="P97" s="81">
        <v>700.0</v>
      </c>
      <c r="Q97" s="81">
        <v>681.8583794491936</v>
      </c>
      <c r="R97" s="81">
        <v>631.1651153056547</v>
      </c>
      <c r="S97" s="72"/>
      <c r="T97" s="81"/>
      <c r="U97" s="79"/>
      <c r="V97" s="81">
        <v>700.0</v>
      </c>
      <c r="W97" s="81">
        <v>720.0</v>
      </c>
      <c r="X97" s="72"/>
      <c r="Y97" s="81">
        <v>830.0</v>
      </c>
      <c r="Z97" s="81">
        <v>700.0</v>
      </c>
      <c r="AA97" s="72"/>
      <c r="AB97" s="72" t="str">
        <f t="shared" si="1"/>
        <v>1</v>
      </c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</row>
    <row r="98" ht="15.0" customHeight="1">
      <c r="A98" s="72" t="str">
        <f>COUNTIFS(NIFTY!$B$7:$B$56,Summary!B98)</f>
        <v>0</v>
      </c>
      <c r="B98" s="73" t="str">
        <f>HYPERLINK("C:\Users\Natik\Desktop\_\All Stock Work\Max Pain Analysis\Stocks\MFSL - MAX FINANCIAL SERVICES LIMITED.xlsx","MFSL")</f>
        <v>MFSL</v>
      </c>
      <c r="C98" s="74" t="s">
        <v>302</v>
      </c>
      <c r="D98" s="75">
        <v>577.3</v>
      </c>
      <c r="E98" s="76">
        <v>589.0</v>
      </c>
      <c r="F98" s="76">
        <v>596.7</v>
      </c>
      <c r="G98" s="76">
        <v>570.35</v>
      </c>
      <c r="H98" s="76">
        <v>573.95</v>
      </c>
      <c r="I98" s="77">
        <v>572.75</v>
      </c>
      <c r="J98" s="78" t="s">
        <v>576</v>
      </c>
      <c r="K98" s="79"/>
      <c r="L98" s="75">
        <v>575.95</v>
      </c>
      <c r="M98" s="76">
        <v>575.0</v>
      </c>
      <c r="N98" s="80">
        <v>586.1</v>
      </c>
      <c r="O98" s="79"/>
      <c r="P98" s="81">
        <v>580.0</v>
      </c>
      <c r="Q98" s="81">
        <v>577.0123973133725</v>
      </c>
      <c r="R98" s="81">
        <v>563.603494683525</v>
      </c>
      <c r="S98" s="72"/>
      <c r="T98" s="81"/>
      <c r="U98" s="79"/>
      <c r="V98" s="81">
        <v>600.0</v>
      </c>
      <c r="W98" s="81">
        <v>580.0</v>
      </c>
      <c r="X98" s="72"/>
      <c r="Y98" s="81">
        <v>500.0</v>
      </c>
      <c r="Z98" s="81">
        <v>560.0</v>
      </c>
      <c r="AA98" s="72"/>
      <c r="AB98" s="72" t="str">
        <f t="shared" si="1"/>
        <v>1</v>
      </c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</row>
    <row r="99" ht="15.0" customHeight="1">
      <c r="A99" s="72" t="str">
        <f>COUNTIFS(NIFTY!$B$7:$B$56,Summary!B99)</f>
        <v>0</v>
      </c>
      <c r="B99" s="73" t="str">
        <f>HYPERLINK("C:\Users\Natik\Desktop\_\All Stock Work\Max Pain Analysis\Stocks\MGL - MAHANAGAR GAS LIMITED.xlsx","MGL")</f>
        <v>MGL</v>
      </c>
      <c r="C99" s="74" t="s">
        <v>305</v>
      </c>
      <c r="D99" s="75">
        <v>1005.3</v>
      </c>
      <c r="E99" s="76">
        <v>1020.0</v>
      </c>
      <c r="F99" s="76">
        <v>1032.6</v>
      </c>
      <c r="G99" s="76">
        <v>993.0</v>
      </c>
      <c r="H99" s="76">
        <v>1000.45</v>
      </c>
      <c r="I99" s="77">
        <v>997.85</v>
      </c>
      <c r="J99" s="78" t="s">
        <v>577</v>
      </c>
      <c r="K99" s="79"/>
      <c r="L99" s="75">
        <v>992.3</v>
      </c>
      <c r="M99" s="76">
        <v>997.1</v>
      </c>
      <c r="N99" s="80">
        <v>1088.0</v>
      </c>
      <c r="O99" s="79"/>
      <c r="P99" s="81">
        <v>1040.0</v>
      </c>
      <c r="Q99" s="81">
        <v>947.8601987580972</v>
      </c>
      <c r="R99" s="81">
        <v>942.2493900569281</v>
      </c>
      <c r="S99" s="72"/>
      <c r="T99" s="81"/>
      <c r="U99" s="79"/>
      <c r="V99" s="81">
        <v>1100.0</v>
      </c>
      <c r="W99" s="81">
        <v>1120.0</v>
      </c>
      <c r="X99" s="72"/>
      <c r="Y99" s="81">
        <v>1000.0</v>
      </c>
      <c r="Z99" s="81">
        <v>1080.0</v>
      </c>
      <c r="AA99" s="72"/>
      <c r="AB99" s="72" t="str">
        <f t="shared" si="1"/>
        <v>0</v>
      </c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</row>
    <row r="100" ht="15.0" customHeight="1">
      <c r="A100" s="72" t="str">
        <f>COUNTIFS(NIFTY!$B$7:$B$56,Summary!B100)</f>
        <v>0</v>
      </c>
      <c r="B100" s="73" t="str">
        <f>HYPERLINK("C:\Users\Natik\Desktop\_\All Stock Work\Max Pain Analysis\Stocks\MINDTREE - MINDTREE LIMITED.xlsx","MINDTREE")</f>
        <v>MINDTREE</v>
      </c>
      <c r="C100" s="74" t="s">
        <v>308</v>
      </c>
      <c r="D100" s="75">
        <v>944.0</v>
      </c>
      <c r="E100" s="76">
        <v>936.0</v>
      </c>
      <c r="F100" s="76">
        <v>1033.7</v>
      </c>
      <c r="G100" s="76">
        <v>936.0</v>
      </c>
      <c r="H100" s="76">
        <v>998.1</v>
      </c>
      <c r="I100" s="77">
        <v>997.55</v>
      </c>
      <c r="J100" s="78" t="s">
        <v>578</v>
      </c>
      <c r="K100" s="79"/>
      <c r="L100" s="75">
        <v>931.2</v>
      </c>
      <c r="M100" s="76">
        <v>924.0</v>
      </c>
      <c r="N100" s="80">
        <v>1008.0</v>
      </c>
      <c r="O100" s="79"/>
      <c r="P100" s="81">
        <v>960.0</v>
      </c>
      <c r="Q100" s="81">
        <v>937.916939020477</v>
      </c>
      <c r="R100" s="81">
        <v>911.548621458355</v>
      </c>
      <c r="S100" s="72"/>
      <c r="T100" s="81"/>
      <c r="U100" s="79"/>
      <c r="V100" s="81">
        <v>1000.0</v>
      </c>
      <c r="W100" s="81">
        <v>1100.0</v>
      </c>
      <c r="X100" s="72"/>
      <c r="Y100" s="81">
        <v>940.0</v>
      </c>
      <c r="Z100" s="81">
        <v>900.0</v>
      </c>
      <c r="AA100" s="72"/>
      <c r="AB100" s="72" t="str">
        <f t="shared" si="1"/>
        <v>0</v>
      </c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</row>
    <row r="101" ht="15.0" customHeight="1">
      <c r="A101" s="72" t="str">
        <f>COUNTIFS(NIFTY!$B$7:$B$56,Summary!B101)</f>
        <v>0</v>
      </c>
      <c r="B101" s="73" t="str">
        <f>HYPERLINK("C:\Users\Natik\Desktop\_\All Stock Work\Max Pain Analysis\Stocks\MOTHERSUMI - MOTHERSON SUMI SYSTEMS LIMITED.xlsx","MOTHERSUMI")</f>
        <v>MOTHERSUMI</v>
      </c>
      <c r="C101" s="74" t="s">
        <v>311</v>
      </c>
      <c r="D101" s="75">
        <v>103.65</v>
      </c>
      <c r="E101" s="76">
        <v>105.8</v>
      </c>
      <c r="F101" s="76">
        <v>108.65</v>
      </c>
      <c r="G101" s="76">
        <v>98.6</v>
      </c>
      <c r="H101" s="76">
        <v>101.15</v>
      </c>
      <c r="I101" s="77">
        <v>100.95</v>
      </c>
      <c r="J101" s="78" t="s">
        <v>579</v>
      </c>
      <c r="K101" s="79"/>
      <c r="L101" s="75">
        <v>99.7</v>
      </c>
      <c r="M101" s="76">
        <v>100.3</v>
      </c>
      <c r="N101" s="80">
        <v>100.45</v>
      </c>
      <c r="O101" s="79"/>
      <c r="P101" s="81">
        <v>110.0</v>
      </c>
      <c r="Q101" s="81">
        <v>122.55927199990322</v>
      </c>
      <c r="R101" s="81">
        <v>120.83423125400088</v>
      </c>
      <c r="S101" s="72"/>
      <c r="T101" s="81"/>
      <c r="U101" s="79"/>
      <c r="V101" s="81">
        <v>165.0</v>
      </c>
      <c r="W101" s="81">
        <v>145.0</v>
      </c>
      <c r="X101" s="72"/>
      <c r="Y101" s="81">
        <v>110.0</v>
      </c>
      <c r="Z101" s="81">
        <v>90.0</v>
      </c>
      <c r="AA101" s="72"/>
      <c r="AB101" s="72" t="str">
        <f t="shared" si="1"/>
        <v>1</v>
      </c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</row>
    <row r="102" ht="15.0" customHeight="1">
      <c r="A102" s="72" t="str">
        <f>COUNTIFS(NIFTY!$B$7:$B$56,Summary!B102)</f>
        <v>0</v>
      </c>
      <c r="B102" s="73" t="str">
        <f>HYPERLINK("C:\Users\Natik\Desktop\_\All Stock Work\Max Pain Analysis\Stocks\MRF - MRF LIMITED.xlsx","MRF")</f>
        <v>MRF</v>
      </c>
      <c r="C102" s="74" t="s">
        <v>314</v>
      </c>
      <c r="D102" s="75">
        <v>66393.2</v>
      </c>
      <c r="E102" s="76">
        <v>66891.0</v>
      </c>
      <c r="F102" s="76">
        <v>67595.9</v>
      </c>
      <c r="G102" s="76">
        <v>65551.0</v>
      </c>
      <c r="H102" s="76">
        <v>65976.3</v>
      </c>
      <c r="I102" s="77">
        <v>65900.0</v>
      </c>
      <c r="J102" s="78">
        <v>6419.0</v>
      </c>
      <c r="K102" s="79"/>
      <c r="L102" s="75">
        <v>66200.0</v>
      </c>
      <c r="M102" s="76">
        <v>66850.0</v>
      </c>
      <c r="N102" s="80">
        <v>69300.0</v>
      </c>
      <c r="O102" s="79"/>
      <c r="P102" s="81">
        <v>66000.0</v>
      </c>
      <c r="Q102" s="81">
        <v>62421.53846153846</v>
      </c>
      <c r="R102" s="81">
        <v>62293.756397134086</v>
      </c>
      <c r="S102" s="72"/>
      <c r="T102" s="81"/>
      <c r="U102" s="79"/>
      <c r="V102" s="81">
        <v>67000.0</v>
      </c>
      <c r="W102" s="81">
        <v>71000.0</v>
      </c>
      <c r="X102" s="72"/>
      <c r="Y102" s="81">
        <v>63000.0</v>
      </c>
      <c r="Z102" s="81">
        <v>66000.0</v>
      </c>
      <c r="AA102" s="72"/>
      <c r="AB102" s="72" t="str">
        <f t="shared" si="1"/>
        <v>0</v>
      </c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</row>
    <row r="103" ht="15.0" customHeight="1">
      <c r="A103" s="72" t="str">
        <f>COUNTIFS(NIFTY!$B$7:$B$56,Summary!B103)</f>
        <v>0</v>
      </c>
      <c r="B103" s="73" t="str">
        <f>HYPERLINK("C:\Users\Natik\Desktop\_\All Stock Work\Max Pain Analysis\Stocks\MUTHOOTFIN - MUTHOOT FINANCE LIMITED.xlsx","MUTHOOTFIN")</f>
        <v>MUTHOOTFIN</v>
      </c>
      <c r="C103" s="74" t="s">
        <v>317</v>
      </c>
      <c r="D103" s="75">
        <v>880.25</v>
      </c>
      <c r="E103" s="76">
        <v>882.1</v>
      </c>
      <c r="F103" s="76">
        <v>901.8</v>
      </c>
      <c r="G103" s="76">
        <v>850.4</v>
      </c>
      <c r="H103" s="76">
        <v>860.1</v>
      </c>
      <c r="I103" s="77">
        <v>853.5</v>
      </c>
      <c r="J103" s="78" t="s">
        <v>580</v>
      </c>
      <c r="K103" s="79"/>
      <c r="L103" s="75">
        <v>852.4</v>
      </c>
      <c r="M103" s="76">
        <v>850.0</v>
      </c>
      <c r="N103" s="80">
        <v>948.0</v>
      </c>
      <c r="O103" s="79"/>
      <c r="P103" s="81">
        <v>1100.0</v>
      </c>
      <c r="Q103" s="81">
        <v>849.7293655363148</v>
      </c>
      <c r="R103" s="81">
        <v>1252.5586790378518</v>
      </c>
      <c r="S103" s="72"/>
      <c r="T103" s="81"/>
      <c r="U103" s="79"/>
      <c r="V103" s="81">
        <v>810.0</v>
      </c>
      <c r="W103" s="81">
        <v>1000.0</v>
      </c>
      <c r="X103" s="72"/>
      <c r="Y103" s="81">
        <v>900.0</v>
      </c>
      <c r="Z103" s="81">
        <v>860.0</v>
      </c>
      <c r="AA103" s="72"/>
      <c r="AB103" s="72" t="str">
        <f t="shared" si="1"/>
        <v>0</v>
      </c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</row>
    <row r="104" ht="15.0" customHeight="1">
      <c r="A104" s="72" t="str">
        <f>COUNTIFS(NIFTY!$B$7:$B$56,Summary!B104)</f>
        <v>0</v>
      </c>
      <c r="B104" s="73" t="str">
        <f>HYPERLINK("C:\Users\Natik\Desktop\_\All Stock Work\Max Pain Analysis\Stocks\NATIONALUM - NATIONAL ALUMINIUM COMPANY LIMITED.xlsx","NATIONALUM")</f>
        <v>NATIONALUM</v>
      </c>
      <c r="C104" s="74" t="s">
        <v>320</v>
      </c>
      <c r="D104" s="75">
        <v>33.5</v>
      </c>
      <c r="E104" s="76">
        <v>34.2</v>
      </c>
      <c r="F104" s="76">
        <v>34.6</v>
      </c>
      <c r="G104" s="76">
        <v>32.3</v>
      </c>
      <c r="H104" s="76">
        <v>32.65</v>
      </c>
      <c r="I104" s="77">
        <v>32.35</v>
      </c>
      <c r="J104" s="78" t="s">
        <v>581</v>
      </c>
      <c r="K104" s="79"/>
      <c r="L104" s="75">
        <v>32.3</v>
      </c>
      <c r="M104" s="76">
        <v>32.5</v>
      </c>
      <c r="N104" s="80" t="s">
        <v>524</v>
      </c>
      <c r="O104" s="79"/>
      <c r="P104" s="81">
        <v>37.0</v>
      </c>
      <c r="Q104" s="81">
        <v>36.67973678239165</v>
      </c>
      <c r="R104" s="81">
        <v>34.65496732146248</v>
      </c>
      <c r="S104" s="72"/>
      <c r="T104" s="81"/>
      <c r="U104" s="79"/>
      <c r="V104" s="81">
        <v>40.0</v>
      </c>
      <c r="W104" s="81">
        <v>35.0</v>
      </c>
      <c r="X104" s="72"/>
      <c r="Y104" s="81">
        <v>35.0</v>
      </c>
      <c r="Z104" s="81">
        <v>37.0</v>
      </c>
      <c r="AA104" s="72"/>
      <c r="AB104" s="72" t="str">
        <f t="shared" si="1"/>
        <v>1</v>
      </c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</row>
    <row r="105" ht="15.0" customHeight="1">
      <c r="A105" s="72" t="str">
        <f>COUNTIFS(NIFTY!$B$7:$B$56,Summary!B105)</f>
        <v>0</v>
      </c>
      <c r="B105" s="73" t="str">
        <f>HYPERLINK("C:\Users\Natik\Desktop\_\All Stock Work\Max Pain Analysis\Stocks\NBCC - NBCC (INDIA) LIMITED.xlsx","NBCC")</f>
        <v>NBCC</v>
      </c>
      <c r="C105" s="74" t="s">
        <v>323</v>
      </c>
      <c r="D105" s="75">
        <v>26.4</v>
      </c>
      <c r="E105" s="76">
        <v>27.3</v>
      </c>
      <c r="F105" s="76">
        <v>27.9</v>
      </c>
      <c r="G105" s="76">
        <v>25.5</v>
      </c>
      <c r="H105" s="76">
        <v>26.3</v>
      </c>
      <c r="I105" s="77">
        <v>26.2</v>
      </c>
      <c r="J105" s="78" t="s">
        <v>582</v>
      </c>
      <c r="K105" s="79"/>
      <c r="L105" s="75">
        <v>36.65</v>
      </c>
      <c r="M105" s="76"/>
      <c r="N105" s="80"/>
      <c r="O105" s="79"/>
      <c r="P105" s="81">
        <v>33.0</v>
      </c>
      <c r="Q105" s="81">
        <v>31.820648247340493</v>
      </c>
      <c r="R105" s="81">
        <v>31.433785346885536</v>
      </c>
      <c r="S105" s="72"/>
      <c r="T105" s="81"/>
      <c r="U105" s="79"/>
      <c r="V105" s="81">
        <v>40.0</v>
      </c>
      <c r="W105" s="81">
        <v>38.0</v>
      </c>
      <c r="X105" s="72"/>
      <c r="Y105" s="81">
        <v>38.0</v>
      </c>
      <c r="Z105" s="81">
        <v>36.0</v>
      </c>
      <c r="AA105" s="72"/>
      <c r="AB105" s="72" t="str">
        <f t="shared" si="1"/>
        <v>1</v>
      </c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</row>
    <row r="106" ht="15.0" customHeight="1">
      <c r="A106" s="72" t="str">
        <f>COUNTIFS(NIFTY!$B$7:$B$56,Summary!B106)</f>
        <v>0</v>
      </c>
      <c r="B106" s="73" t="str">
        <f>HYPERLINK("C:\Users\Natik\Desktop\_\All Stock Work\Max Pain Analysis\Stocks\NCC - NCC LIMITED.xlsx","NCC")</f>
        <v>NCC</v>
      </c>
      <c r="C106" s="74" t="s">
        <v>326</v>
      </c>
      <c r="D106" s="75">
        <v>35.6</v>
      </c>
      <c r="E106" s="76">
        <v>36.4</v>
      </c>
      <c r="F106" s="76">
        <v>38.5</v>
      </c>
      <c r="G106" s="76">
        <v>34.8</v>
      </c>
      <c r="H106" s="76">
        <v>35.55</v>
      </c>
      <c r="I106" s="77">
        <v>35.85</v>
      </c>
      <c r="J106" s="78" t="s">
        <v>583</v>
      </c>
      <c r="K106" s="79"/>
      <c r="L106" s="75">
        <v>35.75</v>
      </c>
      <c r="M106" s="76">
        <v>35.75</v>
      </c>
      <c r="N106" s="80">
        <v>35.7</v>
      </c>
      <c r="O106" s="79"/>
      <c r="P106" s="81">
        <v>45.0</v>
      </c>
      <c r="Q106" s="81">
        <v>49.82952261888753</v>
      </c>
      <c r="R106" s="81">
        <v>48.42356411030693</v>
      </c>
      <c r="S106" s="72"/>
      <c r="T106" s="81"/>
      <c r="U106" s="79"/>
      <c r="V106" s="81">
        <v>55.0</v>
      </c>
      <c r="W106" s="81">
        <v>60.0</v>
      </c>
      <c r="X106" s="72"/>
      <c r="Y106" s="81">
        <v>35.0</v>
      </c>
      <c r="Z106" s="81">
        <v>30.0</v>
      </c>
      <c r="AA106" s="72"/>
      <c r="AB106" s="72" t="str">
        <f t="shared" si="1"/>
        <v>1</v>
      </c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</row>
    <row r="107" ht="15.0" customHeight="1">
      <c r="A107" s="72" t="str">
        <f>COUNTIFS(NIFTY!$B$7:$B$56,Summary!B107)</f>
        <v>1</v>
      </c>
      <c r="B107" s="73" t="str">
        <f>HYPERLINK("C:\Users\Natik\Desktop\_\All Stock Work\Max Pain Analysis\Stocks\NESTLEIND - NESTLE INDIA LIMITED.xlsx","NESTLEIND")</f>
        <v>NESTLEIND</v>
      </c>
      <c r="C107" s="74" t="s">
        <v>329</v>
      </c>
      <c r="D107" s="75">
        <v>15778.85</v>
      </c>
      <c r="E107" s="76">
        <v>15950.0</v>
      </c>
      <c r="F107" s="76">
        <v>16315.0</v>
      </c>
      <c r="G107" s="76">
        <v>15901.0</v>
      </c>
      <c r="H107" s="76">
        <v>16109.95</v>
      </c>
      <c r="I107" s="77">
        <v>16130.2</v>
      </c>
      <c r="J107" s="78" t="s">
        <v>584</v>
      </c>
      <c r="K107" s="79"/>
      <c r="L107" s="75">
        <v>16189.95</v>
      </c>
      <c r="M107" s="76">
        <v>16066.95</v>
      </c>
      <c r="N107" s="80">
        <v>15967.0</v>
      </c>
      <c r="O107" s="79"/>
      <c r="P107" s="81">
        <v>17000.0</v>
      </c>
      <c r="Q107" s="81">
        <v>15510.566249424806</v>
      </c>
      <c r="R107" s="81">
        <v>29035.192748811955</v>
      </c>
      <c r="S107" s="72"/>
      <c r="T107" s="81"/>
      <c r="U107" s="79"/>
      <c r="V107" s="81">
        <v>15400.0</v>
      </c>
      <c r="W107" s="81">
        <v>18250.0</v>
      </c>
      <c r="X107" s="72"/>
      <c r="Y107" s="81">
        <v>15500.0</v>
      </c>
      <c r="Z107" s="81">
        <v>15000.0</v>
      </c>
      <c r="AA107" s="72"/>
      <c r="AB107" s="72" t="str">
        <f t="shared" si="1"/>
        <v>0</v>
      </c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</row>
    <row r="108" ht="15.0" customHeight="1">
      <c r="A108" s="72" t="str">
        <f>COUNTIFS(NIFTY!$B$7:$B$56,Summary!B108)</f>
        <v>0</v>
      </c>
      <c r="B108" s="73" t="str">
        <f>HYPERLINK("C:\Users\Natik\Desktop\_\All Stock Work\Max Pain Analysis\Stocks\NIITTECH - NIIT TECHNOLOGIES LIMITED.xlsx","NIITTECH")</f>
        <v>NIITTECH</v>
      </c>
      <c r="C108" s="74" t="s">
        <v>332</v>
      </c>
      <c r="D108" s="75">
        <v>1689.75</v>
      </c>
      <c r="E108" s="76">
        <v>1697.0</v>
      </c>
      <c r="F108" s="76">
        <v>1857.45</v>
      </c>
      <c r="G108" s="76">
        <v>1697.0</v>
      </c>
      <c r="H108" s="76">
        <v>1790.65</v>
      </c>
      <c r="I108" s="77">
        <v>1797.2</v>
      </c>
      <c r="J108" s="78" t="s">
        <v>585</v>
      </c>
      <c r="K108" s="79"/>
      <c r="L108" s="75">
        <v>1770.0</v>
      </c>
      <c r="M108" s="76">
        <v>1761.2</v>
      </c>
      <c r="N108" s="80">
        <v>1898.25</v>
      </c>
      <c r="O108" s="79"/>
      <c r="P108" s="81">
        <v>1800.0</v>
      </c>
      <c r="Q108" s="81">
        <v>1761.5575441116525</v>
      </c>
      <c r="R108" s="81">
        <v>1739.2084938385174</v>
      </c>
      <c r="S108" s="72"/>
      <c r="T108" s="81"/>
      <c r="U108" s="79"/>
      <c r="V108" s="81">
        <v>2160.0</v>
      </c>
      <c r="W108" s="81">
        <v>2000.0</v>
      </c>
      <c r="X108" s="72"/>
      <c r="Y108" s="81">
        <v>1700.0</v>
      </c>
      <c r="Z108" s="81">
        <v>1800.0</v>
      </c>
      <c r="AA108" s="72"/>
      <c r="AB108" s="72" t="str">
        <f t="shared" si="1"/>
        <v>0</v>
      </c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</row>
    <row r="109" ht="15.0" customHeight="1">
      <c r="A109" s="72" t="str">
        <f>COUNTIFS(NIFTY!$B$7:$B$56,Summary!B109)</f>
        <v>0</v>
      </c>
      <c r="B109" s="73" t="str">
        <f>HYPERLINK("C:\Users\Natik\Desktop\_\All Stock Work\Max Pain Analysis\Stocks\NMDC - NMDC LIMITED.xlsx","NMDC")</f>
        <v>NMDC</v>
      </c>
      <c r="C109" s="74" t="s">
        <v>335</v>
      </c>
      <c r="D109" s="75">
        <v>91.2</v>
      </c>
      <c r="E109" s="76">
        <v>92.9</v>
      </c>
      <c r="F109" s="76">
        <v>95.75</v>
      </c>
      <c r="G109" s="76">
        <v>88.55</v>
      </c>
      <c r="H109" s="76">
        <v>89.5</v>
      </c>
      <c r="I109" s="77">
        <v>89.2</v>
      </c>
      <c r="J109" s="78" t="s">
        <v>586</v>
      </c>
      <c r="K109" s="79"/>
      <c r="L109" s="75">
        <v>88.25</v>
      </c>
      <c r="M109" s="76">
        <v>88.95</v>
      </c>
      <c r="N109" s="80">
        <v>88.85</v>
      </c>
      <c r="O109" s="79"/>
      <c r="P109" s="81">
        <v>100.0</v>
      </c>
      <c r="Q109" s="81">
        <v>96.6409211472998</v>
      </c>
      <c r="R109" s="81">
        <v>90.82781607339301</v>
      </c>
      <c r="S109" s="72"/>
      <c r="T109" s="81"/>
      <c r="U109" s="79"/>
      <c r="V109" s="81">
        <v>105.0</v>
      </c>
      <c r="W109" s="81">
        <v>102.5</v>
      </c>
      <c r="X109" s="72"/>
      <c r="Y109" s="81">
        <v>90.0</v>
      </c>
      <c r="Z109" s="81">
        <v>80.0</v>
      </c>
      <c r="AA109" s="72"/>
      <c r="AB109" s="72" t="str">
        <f t="shared" si="1"/>
        <v>1</v>
      </c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</row>
    <row r="110" ht="15.0" customHeight="1">
      <c r="A110" s="72" t="str">
        <f>COUNTIFS(NIFTY!$B$7:$B$56,Summary!B110)</f>
        <v>1</v>
      </c>
      <c r="B110" s="73" t="str">
        <f>HYPERLINK("C:\Users\Natik\Desktop\_\All Stock Work\Max Pain Analysis\Stocks\NTPC - NTPC LIMITED.xlsx","NTPC")</f>
        <v>NTPC</v>
      </c>
      <c r="C110" s="74" t="s">
        <v>338</v>
      </c>
      <c r="D110" s="75">
        <v>78.35</v>
      </c>
      <c r="E110" s="76">
        <v>78.5</v>
      </c>
      <c r="F110" s="76">
        <v>82.35</v>
      </c>
      <c r="G110" s="76">
        <v>76.35</v>
      </c>
      <c r="H110" s="76">
        <v>81.25</v>
      </c>
      <c r="I110" s="77">
        <v>80.95</v>
      </c>
      <c r="J110" s="78" t="s">
        <v>587</v>
      </c>
      <c r="K110" s="79"/>
      <c r="L110" s="75">
        <v>80.95</v>
      </c>
      <c r="M110" s="76">
        <v>80.5</v>
      </c>
      <c r="N110" s="80">
        <v>79.0</v>
      </c>
      <c r="O110" s="79"/>
      <c r="P110" s="81">
        <v>95.0</v>
      </c>
      <c r="Q110" s="81">
        <v>96.4172280868416</v>
      </c>
      <c r="R110" s="81">
        <v>86.0191759142215</v>
      </c>
      <c r="S110" s="72"/>
      <c r="T110" s="81"/>
      <c r="U110" s="79"/>
      <c r="V110" s="81">
        <v>110.0</v>
      </c>
      <c r="W110" s="81">
        <v>100.0</v>
      </c>
      <c r="X110" s="72"/>
      <c r="Y110" s="81">
        <v>110.0</v>
      </c>
      <c r="Z110" s="81">
        <v>105.0</v>
      </c>
      <c r="AA110" s="72"/>
      <c r="AB110" s="72" t="str">
        <f t="shared" si="1"/>
        <v>1</v>
      </c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</row>
    <row r="111" ht="15.0" customHeight="1">
      <c r="A111" s="72" t="str">
        <f>COUNTIFS(NIFTY!$B$7:$B$56,Summary!B111)</f>
        <v>0</v>
      </c>
      <c r="B111" s="73" t="str">
        <f>HYPERLINK("C:\Users\Natik\Desktop\_\All Stock Work\Max Pain Analysis\Stocks\OIL - OIL INDIA LIMITED.xlsx","OIL")</f>
        <v>OIL</v>
      </c>
      <c r="C111" s="74" t="s">
        <v>341</v>
      </c>
      <c r="D111" s="75">
        <v>108.0</v>
      </c>
      <c r="E111" s="76">
        <v>110.9</v>
      </c>
      <c r="F111" s="76">
        <v>111.2</v>
      </c>
      <c r="G111" s="76">
        <v>101.0</v>
      </c>
      <c r="H111" s="76">
        <v>101.7</v>
      </c>
      <c r="I111" s="77">
        <v>102.0</v>
      </c>
      <c r="J111" s="78" t="s">
        <v>588</v>
      </c>
      <c r="K111" s="79"/>
      <c r="L111" s="75">
        <v>113.65</v>
      </c>
      <c r="M111" s="76">
        <v>97.75</v>
      </c>
      <c r="N111" s="80"/>
      <c r="O111" s="79"/>
      <c r="P111" s="81">
        <v>111.0</v>
      </c>
      <c r="Q111" s="81">
        <v>119.8757740532669</v>
      </c>
      <c r="R111" s="81">
        <v>114.81772667265255</v>
      </c>
      <c r="S111" s="72"/>
      <c r="T111" s="81"/>
      <c r="U111" s="79"/>
      <c r="V111" s="81">
        <v>183.5</v>
      </c>
      <c r="W111" s="81">
        <v>136.0</v>
      </c>
      <c r="X111" s="72"/>
      <c r="Y111" s="81">
        <v>111.0</v>
      </c>
      <c r="Z111" s="81">
        <v>108.5</v>
      </c>
      <c r="AA111" s="72"/>
      <c r="AB111" s="72" t="str">
        <f t="shared" si="1"/>
        <v>1</v>
      </c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</row>
    <row r="112" ht="15.0" customHeight="1">
      <c r="A112" s="72" t="str">
        <f>COUNTIFS(NIFTY!$B$7:$B$56,Summary!B112)</f>
        <v>1</v>
      </c>
      <c r="B112" s="73" t="str">
        <f>HYPERLINK("C:\Users\Natik\Desktop\_\All Stock Work\Max Pain Analysis\Stocks\ONGC - OIL &amp; NATURAL GAS CORPORATION LIMITED.xlsx","ONGC")</f>
        <v>ONGC</v>
      </c>
      <c r="C112" s="74" t="s">
        <v>344</v>
      </c>
      <c r="D112" s="75">
        <v>62.5</v>
      </c>
      <c r="E112" s="76">
        <v>61.2</v>
      </c>
      <c r="F112" s="76">
        <v>63.0</v>
      </c>
      <c r="G112" s="76">
        <v>60.0</v>
      </c>
      <c r="H112" s="76">
        <v>61.55</v>
      </c>
      <c r="I112" s="77">
        <v>61.4</v>
      </c>
      <c r="J112" s="78" t="s">
        <v>589</v>
      </c>
      <c r="K112" s="79"/>
      <c r="L112" s="75">
        <v>61.75</v>
      </c>
      <c r="M112" s="76">
        <v>62.1</v>
      </c>
      <c r="N112" s="80">
        <v>62.2</v>
      </c>
      <c r="O112" s="79"/>
      <c r="P112" s="81">
        <v>70.0</v>
      </c>
      <c r="Q112" s="81">
        <v>72.21756694613889</v>
      </c>
      <c r="R112" s="81">
        <v>68.83298552914137</v>
      </c>
      <c r="S112" s="72"/>
      <c r="T112" s="81"/>
      <c r="U112" s="79"/>
      <c r="V112" s="81">
        <v>90.0</v>
      </c>
      <c r="W112" s="81">
        <v>95.0</v>
      </c>
      <c r="X112" s="72"/>
      <c r="Y112" s="81">
        <v>55.0</v>
      </c>
      <c r="Z112" s="81">
        <v>60.0</v>
      </c>
      <c r="AA112" s="72"/>
      <c r="AB112" s="72" t="str">
        <f t="shared" si="1"/>
        <v>1</v>
      </c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</row>
    <row r="113" ht="15.0" customHeight="1">
      <c r="A113" s="72" t="str">
        <f>COUNTIFS(NIFTY!$B$7:$B$56,Summary!B113)</f>
        <v>0</v>
      </c>
      <c r="B113" s="73" t="str">
        <f>HYPERLINK("C:\Users\Natik\Desktop\_\All Stock Work\Max Pain Analysis\Stocks\PAGEIND - PAGE INDUSTRIES LIMITED.xlsx","PAGEIND")</f>
        <v>PAGEIND</v>
      </c>
      <c r="C113" s="74" t="s">
        <v>347</v>
      </c>
      <c r="D113" s="75">
        <v>22685.5</v>
      </c>
      <c r="E113" s="76">
        <v>22015.0</v>
      </c>
      <c r="F113" s="76">
        <v>22398.45</v>
      </c>
      <c r="G113" s="76">
        <v>21817.85</v>
      </c>
      <c r="H113" s="76">
        <v>22119.05</v>
      </c>
      <c r="I113" s="77">
        <v>22100.0</v>
      </c>
      <c r="J113" s="78">
        <v>70914.0</v>
      </c>
      <c r="K113" s="79"/>
      <c r="L113" s="75">
        <v>22025.0</v>
      </c>
      <c r="M113" s="76">
        <v>21775.05</v>
      </c>
      <c r="N113" s="80"/>
      <c r="O113" s="79"/>
      <c r="P113" s="81">
        <v>22500.0</v>
      </c>
      <c r="Q113" s="81">
        <v>21031.75434919304</v>
      </c>
      <c r="R113" s="81">
        <v>20978.988082793225</v>
      </c>
      <c r="S113" s="72"/>
      <c r="T113" s="81"/>
      <c r="U113" s="79"/>
      <c r="V113" s="81">
        <v>23000.0</v>
      </c>
      <c r="W113" s="81">
        <v>22000.0</v>
      </c>
      <c r="X113" s="72"/>
      <c r="Y113" s="81">
        <v>22000.0</v>
      </c>
      <c r="Z113" s="81">
        <v>23000.0</v>
      </c>
      <c r="AA113" s="72"/>
      <c r="AB113" s="72" t="str">
        <f t="shared" si="1"/>
        <v>0</v>
      </c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</row>
    <row r="114" ht="15.0" customHeight="1">
      <c r="A114" s="72" t="str">
        <f>COUNTIFS(NIFTY!$B$7:$B$56,Summary!B114)</f>
        <v>0</v>
      </c>
      <c r="B114" s="73" t="str">
        <f>HYPERLINK("C:\Users\Natik\Desktop\_\All Stock Work\Max Pain Analysis\Stocks\PETRONET - PETRONET LNG LIMITED.xlsx","PETRONET")</f>
        <v>PETRONET</v>
      </c>
      <c r="C114" s="74" t="s">
        <v>350</v>
      </c>
      <c r="D114" s="75">
        <v>263.85</v>
      </c>
      <c r="E114" s="76">
        <v>264.0</v>
      </c>
      <c r="F114" s="76">
        <v>264.65</v>
      </c>
      <c r="G114" s="76">
        <v>258.55</v>
      </c>
      <c r="H114" s="76">
        <v>262.05</v>
      </c>
      <c r="I114" s="77">
        <v>260.95</v>
      </c>
      <c r="J114" s="78" t="s">
        <v>590</v>
      </c>
      <c r="K114" s="79"/>
      <c r="L114" s="75">
        <v>261.15</v>
      </c>
      <c r="M114" s="76">
        <v>261.6</v>
      </c>
      <c r="N114" s="80"/>
      <c r="O114" s="79"/>
      <c r="P114" s="81">
        <v>265.0</v>
      </c>
      <c r="Q114" s="81">
        <v>249.55055597583345</v>
      </c>
      <c r="R114" s="81">
        <v>246.6014684949463</v>
      </c>
      <c r="S114" s="72"/>
      <c r="T114" s="81"/>
      <c r="U114" s="79"/>
      <c r="V114" s="81">
        <v>270.0</v>
      </c>
      <c r="W114" s="81">
        <v>280.0</v>
      </c>
      <c r="X114" s="72"/>
      <c r="Y114" s="81">
        <v>260.0</v>
      </c>
      <c r="Z114" s="81">
        <v>255.0</v>
      </c>
      <c r="AA114" s="72"/>
      <c r="AB114" s="72" t="str">
        <f t="shared" si="1"/>
        <v>0</v>
      </c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</row>
    <row r="115" ht="15.0" customHeight="1">
      <c r="A115" s="72" t="str">
        <f>COUNTIFS(NIFTY!$B$7:$B$56,Summary!B115)</f>
        <v>0</v>
      </c>
      <c r="B115" s="73" t="str">
        <f>HYPERLINK("C:\Users\Natik\Desktop\_\All Stock Work\Max Pain Analysis\Stocks\PFC - POWER FINANCE CORPORATION LIMITED.xlsx","PFC")</f>
        <v>PFC</v>
      </c>
      <c r="C115" s="74" t="s">
        <v>353</v>
      </c>
      <c r="D115" s="75">
        <v>128.85</v>
      </c>
      <c r="E115" s="76">
        <v>127.9</v>
      </c>
      <c r="F115" s="76">
        <v>130.25</v>
      </c>
      <c r="G115" s="76">
        <v>126.75</v>
      </c>
      <c r="H115" s="76">
        <v>127.2</v>
      </c>
      <c r="I115" s="77">
        <v>127.3</v>
      </c>
      <c r="J115" s="78" t="s">
        <v>591</v>
      </c>
      <c r="K115" s="79"/>
      <c r="L115" s="75">
        <v>127.3</v>
      </c>
      <c r="M115" s="76">
        <v>127.85</v>
      </c>
      <c r="N115" s="80">
        <v>128.7</v>
      </c>
      <c r="O115" s="79"/>
      <c r="P115" s="81">
        <v>130.0</v>
      </c>
      <c r="Q115" s="81">
        <v>127.16801471603515</v>
      </c>
      <c r="R115" s="81">
        <v>123.79344926774337</v>
      </c>
      <c r="S115" s="72"/>
      <c r="T115" s="81"/>
      <c r="U115" s="79"/>
      <c r="V115" s="81">
        <v>130.0</v>
      </c>
      <c r="W115" s="81">
        <v>135.0</v>
      </c>
      <c r="X115" s="72"/>
      <c r="Y115" s="81">
        <v>135.0</v>
      </c>
      <c r="Z115" s="81">
        <v>120.0</v>
      </c>
      <c r="AA115" s="72"/>
      <c r="AB115" s="72" t="str">
        <f t="shared" si="1"/>
        <v>0</v>
      </c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</row>
    <row r="116" ht="15.0" customHeight="1">
      <c r="A116" s="72" t="str">
        <f>COUNTIFS(NIFTY!$B$7:$B$56,Summary!B116)</f>
        <v>0</v>
      </c>
      <c r="B116" s="73" t="str">
        <f>HYPERLINK("C:\Users\Natik\Desktop\_\All Stock Work\Max Pain Analysis\Stocks\PIDILITIND - PIDILITE INDUSTRIES LIMITED.xlsx","PIDILITIND")</f>
        <v>PIDILITIND</v>
      </c>
      <c r="C116" s="74" t="s">
        <v>356</v>
      </c>
      <c r="D116" s="75">
        <v>1556.15</v>
      </c>
      <c r="E116" s="76">
        <v>1550.0</v>
      </c>
      <c r="F116" s="76">
        <v>1562.95</v>
      </c>
      <c r="G116" s="76">
        <v>1526.2</v>
      </c>
      <c r="H116" s="76">
        <v>1535.7</v>
      </c>
      <c r="I116" s="77">
        <v>1528.0</v>
      </c>
      <c r="J116" s="78" t="s">
        <v>592</v>
      </c>
      <c r="K116" s="79"/>
      <c r="L116" s="75">
        <v>1528.55</v>
      </c>
      <c r="M116" s="76">
        <v>1535.0</v>
      </c>
      <c r="N116" s="80">
        <v>1551.1</v>
      </c>
      <c r="O116" s="79"/>
      <c r="P116" s="81">
        <v>1540.0</v>
      </c>
      <c r="Q116" s="81">
        <v>1476.1502452264588</v>
      </c>
      <c r="R116" s="81">
        <v>1430.6345784045218</v>
      </c>
      <c r="S116" s="72"/>
      <c r="T116" s="81"/>
      <c r="U116" s="79"/>
      <c r="V116" s="81">
        <v>1600.0</v>
      </c>
      <c r="W116" s="81">
        <v>1620.0</v>
      </c>
      <c r="X116" s="72"/>
      <c r="Y116" s="81">
        <v>1500.0</v>
      </c>
      <c r="Z116" s="81">
        <v>1560.0</v>
      </c>
      <c r="AA116" s="72"/>
      <c r="AB116" s="72" t="str">
        <f t="shared" si="1"/>
        <v>0</v>
      </c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</row>
    <row r="117" ht="15.0" customHeight="1">
      <c r="A117" s="72" t="str">
        <f>COUNTIFS(NIFTY!$B$7:$B$56,Summary!B117)</f>
        <v>1</v>
      </c>
      <c r="B117" s="73" t="str">
        <f>HYPERLINK("C:\Users\Natik\Desktop\_\All Stock Work\Max Pain Analysis\Stocks\POWERGRID - POWER GRID CORPORATION OF INDIA LIMITED.xlsx","POWERGRID")</f>
        <v>POWERGRID</v>
      </c>
      <c r="C117" s="74" t="s">
        <v>359</v>
      </c>
      <c r="D117" s="75">
        <v>186.15</v>
      </c>
      <c r="E117" s="76">
        <v>185.0</v>
      </c>
      <c r="F117" s="76">
        <v>188.4</v>
      </c>
      <c r="G117" s="76">
        <v>183.95</v>
      </c>
      <c r="H117" s="76">
        <v>185.85</v>
      </c>
      <c r="I117" s="77">
        <v>185.75</v>
      </c>
      <c r="J117" s="78" t="s">
        <v>593</v>
      </c>
      <c r="K117" s="79"/>
      <c r="L117" s="75">
        <v>185.55</v>
      </c>
      <c r="M117" s="76">
        <v>178.15</v>
      </c>
      <c r="N117" s="80">
        <v>178.9</v>
      </c>
      <c r="O117" s="79"/>
      <c r="P117" s="81">
        <v>182.5</v>
      </c>
      <c r="Q117" s="81">
        <v>178.63252317611082</v>
      </c>
      <c r="R117" s="81">
        <v>176.04774959862854</v>
      </c>
      <c r="S117" s="72"/>
      <c r="T117" s="81"/>
      <c r="U117" s="79"/>
      <c r="V117" s="81">
        <v>190.0</v>
      </c>
      <c r="W117" s="81">
        <v>200.0</v>
      </c>
      <c r="X117" s="72"/>
      <c r="Y117" s="81">
        <v>185.0</v>
      </c>
      <c r="Z117" s="81">
        <v>170.0</v>
      </c>
      <c r="AA117" s="72"/>
      <c r="AB117" s="72" t="str">
        <f t="shared" si="1"/>
        <v>0</v>
      </c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</row>
    <row r="118" ht="15.0" customHeight="1">
      <c r="A118" s="72" t="str">
        <f>COUNTIFS(NIFTY!$B$7:$B$56,Summary!B118)</f>
        <v>0</v>
      </c>
      <c r="B118" s="73" t="str">
        <f>HYPERLINK("C:\Users\Natik\Desktop\_\All Stock Work\Max Pain Analysis\Stocks\PVR - PVR LIMITED.xlsx","PVR")</f>
        <v>PVR</v>
      </c>
      <c r="C118" s="74" t="s">
        <v>362</v>
      </c>
      <c r="D118" s="75">
        <v>2033.8</v>
      </c>
      <c r="E118" s="76">
        <v>2025.0</v>
      </c>
      <c r="F118" s="76">
        <v>2040.0</v>
      </c>
      <c r="G118" s="76">
        <v>1993.7</v>
      </c>
      <c r="H118" s="76">
        <v>2015.6</v>
      </c>
      <c r="I118" s="77">
        <v>2020.0</v>
      </c>
      <c r="J118" s="78" t="s">
        <v>594</v>
      </c>
      <c r="K118" s="79"/>
      <c r="L118" s="75">
        <v>2018.3</v>
      </c>
      <c r="M118" s="76">
        <v>2007.5</v>
      </c>
      <c r="N118" s="80">
        <v>1965.9</v>
      </c>
      <c r="O118" s="79"/>
      <c r="P118" s="81">
        <v>2000.0</v>
      </c>
      <c r="Q118" s="81">
        <v>1988.726184346035</v>
      </c>
      <c r="R118" s="81">
        <v>1974.1555205316067</v>
      </c>
      <c r="S118" s="72"/>
      <c r="T118" s="81"/>
      <c r="U118" s="79"/>
      <c r="V118" s="81">
        <v>2100.0</v>
      </c>
      <c r="W118" s="81">
        <v>2150.0</v>
      </c>
      <c r="X118" s="72"/>
      <c r="Y118" s="81">
        <v>2000.0</v>
      </c>
      <c r="Z118" s="81">
        <v>1900.0</v>
      </c>
      <c r="AA118" s="72"/>
      <c r="AB118" s="72" t="str">
        <f t="shared" si="1"/>
        <v>0</v>
      </c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</row>
    <row r="119" ht="15.0" customHeight="1">
      <c r="A119" s="72" t="str">
        <f>COUNTIFS(NIFTY!$B$7:$B$56,Summary!B119)</f>
        <v>0</v>
      </c>
      <c r="B119" s="73" t="str">
        <f>HYPERLINK("C:\Users\Natik\Desktop\_\All Stock Work\Max Pain Analysis\Stocks\RAMCOCEM - THE RAMCO CEMENTS LIMITED.xlsx","RAMCOCEM")</f>
        <v>RAMCOCEM</v>
      </c>
      <c r="C119" s="74" t="s">
        <v>365</v>
      </c>
      <c r="D119" s="75">
        <v>791.25</v>
      </c>
      <c r="E119" s="76">
        <v>790.0</v>
      </c>
      <c r="F119" s="76">
        <v>799.7</v>
      </c>
      <c r="G119" s="76">
        <v>778.85</v>
      </c>
      <c r="H119" s="76">
        <v>790.6</v>
      </c>
      <c r="I119" s="77">
        <v>792.0</v>
      </c>
      <c r="J119" s="78" t="s">
        <v>595</v>
      </c>
      <c r="K119" s="79"/>
      <c r="L119" s="75">
        <v>789.85</v>
      </c>
      <c r="M119" s="76">
        <v>785.4</v>
      </c>
      <c r="N119" s="80"/>
      <c r="O119" s="79"/>
      <c r="P119" s="81">
        <v>780.0</v>
      </c>
      <c r="Q119" s="81">
        <v>693.9596621272194</v>
      </c>
      <c r="R119" s="81">
        <v>687.3245688919242</v>
      </c>
      <c r="S119" s="72"/>
      <c r="T119" s="81"/>
      <c r="U119" s="79"/>
      <c r="V119" s="81">
        <v>820.0</v>
      </c>
      <c r="W119" s="81">
        <v>800.0</v>
      </c>
      <c r="X119" s="72"/>
      <c r="Y119" s="81">
        <v>690.0</v>
      </c>
      <c r="Z119" s="81">
        <v>690.0</v>
      </c>
      <c r="AA119" s="72"/>
      <c r="AB119" s="72" t="str">
        <f t="shared" si="1"/>
        <v>0</v>
      </c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</row>
    <row r="120" ht="15.0" customHeight="1">
      <c r="A120" s="72" t="str">
        <f>COUNTIFS(NIFTY!$B$7:$B$56,Summary!B120)</f>
        <v>0</v>
      </c>
      <c r="B120" s="73" t="str">
        <f>HYPERLINK("C:\Users\Natik\Desktop\_\All Stock Work\Max Pain Analysis\Stocks\RECLTD - REC LIMITED.xlsx","RECLTD")</f>
        <v>RECLTD</v>
      </c>
      <c r="C120" s="74" t="s">
        <v>368</v>
      </c>
      <c r="D120" s="75">
        <v>133.85</v>
      </c>
      <c r="E120" s="76">
        <v>132.5</v>
      </c>
      <c r="F120" s="76">
        <v>133.75</v>
      </c>
      <c r="G120" s="76">
        <v>129.3</v>
      </c>
      <c r="H120" s="76">
        <v>129.75</v>
      </c>
      <c r="I120" s="77">
        <v>129.3</v>
      </c>
      <c r="J120" s="78" t="s">
        <v>596</v>
      </c>
      <c r="K120" s="79"/>
      <c r="L120" s="75">
        <v>129.6</v>
      </c>
      <c r="M120" s="76">
        <v>130.25</v>
      </c>
      <c r="N120" s="80">
        <v>130.05</v>
      </c>
      <c r="O120" s="79"/>
      <c r="P120" s="81">
        <v>137.5</v>
      </c>
      <c r="Q120" s="81">
        <v>132.28251060375774</v>
      </c>
      <c r="R120" s="81">
        <v>115.6024856749482</v>
      </c>
      <c r="S120" s="72"/>
      <c r="T120" s="81"/>
      <c r="U120" s="79"/>
      <c r="V120" s="81">
        <v>170.0</v>
      </c>
      <c r="W120" s="81">
        <v>144.0</v>
      </c>
      <c r="X120" s="72"/>
      <c r="Y120" s="81">
        <v>124.0</v>
      </c>
      <c r="Z120" s="81">
        <v>129.0</v>
      </c>
      <c r="AA120" s="72"/>
      <c r="AB120" s="72" t="str">
        <f t="shared" si="1"/>
        <v>1</v>
      </c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</row>
    <row r="121" ht="15.0" customHeight="1">
      <c r="A121" s="72" t="str">
        <f>COUNTIFS(NIFTY!$B$7:$B$56,Summary!B121)</f>
        <v>1</v>
      </c>
      <c r="B121" s="73" t="str">
        <f>HYPERLINK("C:\Users\Natik\Desktop\_\All Stock Work\Max Pain Analysis\Stocks\RELIANCE - RELIANCE INDUSTRIES LIMITED.xlsx","RELIANCE")</f>
        <v>RELIANCE</v>
      </c>
      <c r="C121" s="74" t="s">
        <v>371</v>
      </c>
      <c r="D121" s="75">
        <v>943.4</v>
      </c>
      <c r="E121" s="76">
        <v>963.8</v>
      </c>
      <c r="F121" s="76">
        <v>1151.55</v>
      </c>
      <c r="G121" s="76">
        <v>963.25</v>
      </c>
      <c r="H121" s="76">
        <v>1082.25</v>
      </c>
      <c r="I121" s="77">
        <v>1074.0</v>
      </c>
      <c r="J121" s="78" t="s">
        <v>597</v>
      </c>
      <c r="K121" s="79"/>
      <c r="L121" s="75">
        <v>1078.75</v>
      </c>
      <c r="M121" s="76">
        <v>1086.0</v>
      </c>
      <c r="N121" s="80">
        <v>1087.6</v>
      </c>
      <c r="O121" s="79"/>
      <c r="P121" s="81">
        <v>1180.0</v>
      </c>
      <c r="Q121" s="81">
        <v>1081.8281826056316</v>
      </c>
      <c r="R121" s="81">
        <v>1008.7166142976919</v>
      </c>
      <c r="S121" s="72"/>
      <c r="T121" s="81"/>
      <c r="U121" s="79"/>
      <c r="V121" s="81">
        <v>1500.0</v>
      </c>
      <c r="W121" s="81">
        <v>1400.0</v>
      </c>
      <c r="X121" s="72"/>
      <c r="Y121" s="81">
        <v>900.0</v>
      </c>
      <c r="Z121" s="81">
        <v>1000.0</v>
      </c>
      <c r="AA121" s="72"/>
      <c r="AB121" s="72" t="str">
        <f t="shared" si="1"/>
        <v>1</v>
      </c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</row>
    <row r="122" ht="15.0" customHeight="1">
      <c r="A122" s="72" t="str">
        <f>COUNTIFS(NIFTY!$B$7:$B$56,Summary!B122)</f>
        <v>0</v>
      </c>
      <c r="B122" s="73" t="str">
        <f>HYPERLINK("C:\Users\Natik\Desktop\_\All Stock Work\Max Pain Analysis\Stocks\SAIL - STEEL AUTHORITY OF INDIA LIMITED.xlsx","SAIL")</f>
        <v>SAIL</v>
      </c>
      <c r="C122" s="74" t="s">
        <v>375</v>
      </c>
      <c r="D122" s="75">
        <v>39.25</v>
      </c>
      <c r="E122" s="76">
        <v>38.4</v>
      </c>
      <c r="F122" s="76">
        <v>39.2</v>
      </c>
      <c r="G122" s="76">
        <v>38.25</v>
      </c>
      <c r="H122" s="76">
        <v>38.55</v>
      </c>
      <c r="I122" s="77">
        <v>38.7</v>
      </c>
      <c r="J122" s="78" t="s">
        <v>598</v>
      </c>
      <c r="K122" s="79"/>
      <c r="L122" s="75">
        <v>38.6</v>
      </c>
      <c r="M122" s="76">
        <v>38.75</v>
      </c>
      <c r="N122" s="80">
        <v>39.0</v>
      </c>
      <c r="O122" s="79"/>
      <c r="P122" s="81">
        <v>44.0</v>
      </c>
      <c r="Q122" s="81">
        <v>41.45115101398083</v>
      </c>
      <c r="R122" s="81">
        <v>40.092902815028744</v>
      </c>
      <c r="S122" s="72"/>
      <c r="T122" s="81"/>
      <c r="U122" s="79"/>
      <c r="V122" s="81">
        <v>58.0</v>
      </c>
      <c r="W122" s="81">
        <v>50.0</v>
      </c>
      <c r="X122" s="72"/>
      <c r="Y122" s="81">
        <v>47.0</v>
      </c>
      <c r="Z122" s="81">
        <v>40.0</v>
      </c>
      <c r="AA122" s="72"/>
      <c r="AB122" s="72" t="str">
        <f t="shared" si="1"/>
        <v>1</v>
      </c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</row>
    <row r="123" ht="15.0" customHeight="1">
      <c r="A123" s="72" t="str">
        <f>COUNTIFS(NIFTY!$B$7:$B$56,Summary!B123)</f>
        <v>1</v>
      </c>
      <c r="B123" s="73" t="str">
        <f>HYPERLINK("C:\Users\Natik\Desktop\_\All Stock Work\Max Pain Analysis\Stocks\SHREECEM - SHREE CEMENT LIMITED.xlsx","SHREECEM")</f>
        <v>SHREECEM</v>
      </c>
      <c r="C123" s="74" t="s">
        <v>378</v>
      </c>
      <c r="D123" s="75">
        <v>23572.05</v>
      </c>
      <c r="E123" s="76">
        <v>23488.85</v>
      </c>
      <c r="F123" s="76">
        <v>23597.3</v>
      </c>
      <c r="G123" s="76">
        <v>23153.1</v>
      </c>
      <c r="H123" s="76">
        <v>23465.15</v>
      </c>
      <c r="I123" s="77">
        <v>23500.0</v>
      </c>
      <c r="J123" s="78">
        <v>34970.0</v>
      </c>
      <c r="K123" s="79"/>
      <c r="L123" s="75">
        <v>23498.0</v>
      </c>
      <c r="M123" s="76">
        <v>23538.9</v>
      </c>
      <c r="N123" s="80">
        <v>24340.5</v>
      </c>
      <c r="O123" s="79"/>
      <c r="P123" s="81">
        <v>23000.0</v>
      </c>
      <c r="Q123" s="81">
        <v>21830.111524163567</v>
      </c>
      <c r="R123" s="81">
        <v>21594.631037018877</v>
      </c>
      <c r="S123" s="72"/>
      <c r="T123" s="81"/>
      <c r="U123" s="79"/>
      <c r="V123" s="81">
        <v>24000.0</v>
      </c>
      <c r="W123" s="81">
        <v>23500.0</v>
      </c>
      <c r="X123" s="72"/>
      <c r="Y123" s="81">
        <v>23250.0</v>
      </c>
      <c r="Z123" s="81">
        <v>23250.0</v>
      </c>
      <c r="AA123" s="72"/>
      <c r="AB123" s="72" t="str">
        <f t="shared" si="1"/>
        <v>0</v>
      </c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</row>
    <row r="124" ht="15.0" customHeight="1">
      <c r="A124" s="72" t="str">
        <f>COUNTIFS(NIFTY!$B$7:$B$56,Summary!B124)</f>
        <v>0</v>
      </c>
      <c r="B124" s="73" t="str">
        <f>HYPERLINK("C:\Users\Natik\Desktop\_\All Stock Work\Max Pain Analysis\Stocks\SIEMENS - SIEMENS LIMITED.xlsx","SIEMENS")</f>
        <v>SIEMENS</v>
      </c>
      <c r="C124" s="74" t="s">
        <v>381</v>
      </c>
      <c r="D124" s="75">
        <v>1382.75</v>
      </c>
      <c r="E124" s="76">
        <v>1376.15</v>
      </c>
      <c r="F124" s="76">
        <v>1397.65</v>
      </c>
      <c r="G124" s="76">
        <v>1340.0</v>
      </c>
      <c r="H124" s="76">
        <v>1346.4</v>
      </c>
      <c r="I124" s="77">
        <v>1342.7</v>
      </c>
      <c r="J124" s="78" t="s">
        <v>599</v>
      </c>
      <c r="K124" s="79"/>
      <c r="L124" s="75">
        <v>1350.5</v>
      </c>
      <c r="M124" s="76">
        <v>1345.55</v>
      </c>
      <c r="N124" s="80">
        <v>1384.0</v>
      </c>
      <c r="O124" s="79"/>
      <c r="P124" s="81">
        <v>1440.0</v>
      </c>
      <c r="Q124" s="81">
        <v>1366.275980887233</v>
      </c>
      <c r="R124" s="81">
        <v>1355.1086718631627</v>
      </c>
      <c r="S124" s="72"/>
      <c r="T124" s="81"/>
      <c r="U124" s="79"/>
      <c r="V124" s="81">
        <v>1500.0</v>
      </c>
      <c r="W124" s="81">
        <v>1600.0</v>
      </c>
      <c r="X124" s="72"/>
      <c r="Y124" s="81">
        <v>1400.0</v>
      </c>
      <c r="Z124" s="81">
        <v>1500.0</v>
      </c>
      <c r="AA124" s="72"/>
      <c r="AB124" s="72" t="str">
        <f t="shared" si="1"/>
        <v>1</v>
      </c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</row>
    <row r="125" ht="15.0" customHeight="1">
      <c r="A125" s="72" t="str">
        <f>COUNTIFS(NIFTY!$B$7:$B$56,Summary!B125)</f>
        <v>0</v>
      </c>
      <c r="B125" s="73" t="str">
        <f>HYPERLINK("C:\Users\Natik\Desktop\_\All Stock Work\Max Pain Analysis\Stocks\SRF - SRF LIMITED.xlsx","SRF")</f>
        <v>SRF</v>
      </c>
      <c r="C125" s="74" t="s">
        <v>384</v>
      </c>
      <c r="D125" s="75">
        <v>4119.75</v>
      </c>
      <c r="E125" s="76">
        <v>4108.0</v>
      </c>
      <c r="F125" s="76">
        <v>4165.5</v>
      </c>
      <c r="G125" s="76">
        <v>4099.15</v>
      </c>
      <c r="H125" s="76">
        <v>4125.1</v>
      </c>
      <c r="I125" s="77">
        <v>4127.3</v>
      </c>
      <c r="J125" s="78" t="s">
        <v>600</v>
      </c>
      <c r="K125" s="79"/>
      <c r="L125" s="75">
        <v>4139.3</v>
      </c>
      <c r="M125" s="76">
        <v>4158.75</v>
      </c>
      <c r="N125" s="80">
        <v>4160.0</v>
      </c>
      <c r="O125" s="79"/>
      <c r="P125" s="81">
        <v>4000.0</v>
      </c>
      <c r="Q125" s="81">
        <v>3910.179761854697</v>
      </c>
      <c r="R125" s="81">
        <v>3639.136082727458</v>
      </c>
      <c r="S125" s="72"/>
      <c r="T125" s="81"/>
      <c r="U125" s="79"/>
      <c r="V125" s="81">
        <v>4200.0</v>
      </c>
      <c r="W125" s="81">
        <v>4300.0</v>
      </c>
      <c r="X125" s="72"/>
      <c r="Y125" s="81">
        <v>4000.0</v>
      </c>
      <c r="Z125" s="81">
        <v>3600.0</v>
      </c>
      <c r="AA125" s="72"/>
      <c r="AB125" s="72" t="str">
        <f t="shared" si="1"/>
        <v>0</v>
      </c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</row>
    <row r="126" ht="15.0" customHeight="1">
      <c r="A126" s="72" t="str">
        <f>COUNTIFS(NIFTY!$B$7:$B$56,Summary!B126)</f>
        <v>0</v>
      </c>
      <c r="B126" s="73" t="str">
        <f>HYPERLINK("C:\Users\Natik\Desktop\_\All Stock Work\Max Pain Analysis\Stocks\SRTRANSFIN - SHRIRAM TRANSPORT FINANCE COMPANY LIMITED.xlsx","SRTRANSFIN")</f>
        <v>SRTRANSFIN</v>
      </c>
      <c r="C126" s="74" t="s">
        <v>387</v>
      </c>
      <c r="D126" s="75">
        <v>1322.9</v>
      </c>
      <c r="E126" s="76">
        <v>1314.9</v>
      </c>
      <c r="F126" s="76">
        <v>1318.0</v>
      </c>
      <c r="G126" s="76">
        <v>1268.05</v>
      </c>
      <c r="H126" s="76">
        <v>1276.95</v>
      </c>
      <c r="I126" s="77">
        <v>1274.55</v>
      </c>
      <c r="J126" s="78" t="s">
        <v>601</v>
      </c>
      <c r="K126" s="79"/>
      <c r="L126" s="75">
        <v>1274.2</v>
      </c>
      <c r="M126" s="76">
        <v>1263.6</v>
      </c>
      <c r="N126" s="80">
        <v>1101.0</v>
      </c>
      <c r="O126" s="79"/>
      <c r="P126" s="81">
        <v>1240.0</v>
      </c>
      <c r="Q126" s="81">
        <v>1247.2389243438363</v>
      </c>
      <c r="R126" s="81">
        <v>1205.117472435785</v>
      </c>
      <c r="S126" s="72"/>
      <c r="T126" s="81"/>
      <c r="U126" s="79"/>
      <c r="V126" s="81">
        <v>1360.0</v>
      </c>
      <c r="W126" s="81">
        <v>1340.0</v>
      </c>
      <c r="X126" s="72"/>
      <c r="Y126" s="81">
        <v>1260.0</v>
      </c>
      <c r="Z126" s="81">
        <v>1200.0</v>
      </c>
      <c r="AA126" s="72"/>
      <c r="AB126" s="72" t="str">
        <f t="shared" si="1"/>
        <v>0</v>
      </c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</row>
    <row r="127" ht="15.0" customHeight="1">
      <c r="A127" s="72" t="str">
        <f>COUNTIFS(NIFTY!$B$7:$B$56,Summary!B127)</f>
        <v>1</v>
      </c>
      <c r="B127" s="73" t="str">
        <f>HYPERLINK("C:\Users\Natik\Desktop\_\All Stock Work\Max Pain Analysis\Stocks\SUNPHARMA - SUN PHARMACEUTICAL INDUSTRIES LIMITED.xlsx","SUNPHARMA")</f>
        <v>SUNPHARMA</v>
      </c>
      <c r="C127" s="74" t="s">
        <v>390</v>
      </c>
      <c r="D127" s="75">
        <v>388.9</v>
      </c>
      <c r="E127" s="76">
        <v>385.1</v>
      </c>
      <c r="F127" s="76">
        <v>386.95</v>
      </c>
      <c r="G127" s="76">
        <v>372.5</v>
      </c>
      <c r="H127" s="76">
        <v>374.7</v>
      </c>
      <c r="I127" s="77">
        <v>374.0</v>
      </c>
      <c r="J127" s="78" t="s">
        <v>602</v>
      </c>
      <c r="K127" s="79"/>
      <c r="L127" s="75">
        <v>373.5</v>
      </c>
      <c r="M127" s="76">
        <v>375.35</v>
      </c>
      <c r="N127" s="80">
        <v>377.0</v>
      </c>
      <c r="O127" s="79"/>
      <c r="P127" s="81">
        <v>410.0</v>
      </c>
      <c r="Q127" s="81">
        <v>389.95787151762573</v>
      </c>
      <c r="R127" s="81">
        <v>376.58496082644166</v>
      </c>
      <c r="S127" s="72"/>
      <c r="T127" s="81"/>
      <c r="U127" s="79"/>
      <c r="V127" s="81">
        <v>420.0</v>
      </c>
      <c r="W127" s="81">
        <v>430.0</v>
      </c>
      <c r="X127" s="72"/>
      <c r="Y127" s="81">
        <v>420.0</v>
      </c>
      <c r="Z127" s="81">
        <v>400.0</v>
      </c>
      <c r="AA127" s="72"/>
      <c r="AB127" s="72" t="str">
        <f t="shared" si="1"/>
        <v>1</v>
      </c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</row>
    <row r="128" ht="15.0" customHeight="1">
      <c r="A128" s="72" t="str">
        <f>COUNTIFS(NIFTY!$B$7:$B$56,Summary!B128)</f>
        <v>0</v>
      </c>
      <c r="B128" s="73" t="str">
        <f>HYPERLINK("C:\Users\Natik\Desktop\_\All Stock Work\Max Pain Analysis\Stocks\SUNTV - SUN TV NETWORK LIMITED.xlsx","SUNTV")</f>
        <v>SUNTV</v>
      </c>
      <c r="C128" s="74" t="s">
        <v>393</v>
      </c>
      <c r="D128" s="75">
        <v>467.3</v>
      </c>
      <c r="E128" s="76">
        <v>465.0</v>
      </c>
      <c r="F128" s="76">
        <v>477.65</v>
      </c>
      <c r="G128" s="76">
        <v>459.0</v>
      </c>
      <c r="H128" s="76">
        <v>462.0</v>
      </c>
      <c r="I128" s="77">
        <v>463.35</v>
      </c>
      <c r="J128" s="78" t="s">
        <v>603</v>
      </c>
      <c r="K128" s="79"/>
      <c r="L128" s="75">
        <v>463.2</v>
      </c>
      <c r="M128" s="76">
        <v>464.95</v>
      </c>
      <c r="N128" s="80">
        <v>493.0</v>
      </c>
      <c r="O128" s="79"/>
      <c r="P128" s="81">
        <v>480.0</v>
      </c>
      <c r="Q128" s="81">
        <v>427.84382506004806</v>
      </c>
      <c r="R128" s="81">
        <v>423.76815257580716</v>
      </c>
      <c r="S128" s="72"/>
      <c r="T128" s="81"/>
      <c r="U128" s="79"/>
      <c r="V128" s="81">
        <v>500.0</v>
      </c>
      <c r="W128" s="81">
        <v>520.0</v>
      </c>
      <c r="X128" s="72"/>
      <c r="Y128" s="81">
        <v>500.0</v>
      </c>
      <c r="Z128" s="81">
        <v>460.0</v>
      </c>
      <c r="AA128" s="72"/>
      <c r="AB128" s="72" t="str">
        <f t="shared" si="1"/>
        <v>0</v>
      </c>
      <c r="AC128" s="72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</row>
    <row r="129" ht="15.0" customHeight="1">
      <c r="A129" s="72" t="str">
        <f>COUNTIFS(NIFTY!$B$7:$B$56,Summary!B129)</f>
        <v>0</v>
      </c>
      <c r="B129" s="73" t="str">
        <f>HYPERLINK("C:\Users\Natik\Desktop\_\All Stock Work\Max Pain Analysis\Stocks\TATACHEM - TATA CHEMICALS LIMITED.xlsx","TATACHEM")</f>
        <v>TATACHEM</v>
      </c>
      <c r="C129" s="74" t="s">
        <v>396</v>
      </c>
      <c r="D129" s="75">
        <v>749.6</v>
      </c>
      <c r="E129" s="76">
        <v>751.0</v>
      </c>
      <c r="F129" s="76">
        <v>752.0</v>
      </c>
      <c r="G129" s="76">
        <v>736.0</v>
      </c>
      <c r="H129" s="76">
        <v>743.95</v>
      </c>
      <c r="I129" s="77">
        <v>745.0</v>
      </c>
      <c r="J129" s="78" t="s">
        <v>604</v>
      </c>
      <c r="K129" s="79"/>
      <c r="L129" s="75">
        <v>749.75</v>
      </c>
      <c r="M129" s="76">
        <v>745.0</v>
      </c>
      <c r="N129" s="80">
        <v>742.0</v>
      </c>
      <c r="O129" s="79"/>
      <c r="P129" s="81">
        <v>750.0</v>
      </c>
      <c r="Q129" s="81">
        <v>759.6491228070175</v>
      </c>
      <c r="R129" s="81">
        <v>757.5671693638226</v>
      </c>
      <c r="S129" s="72"/>
      <c r="T129" s="81"/>
      <c r="U129" s="79"/>
      <c r="V129" s="81">
        <v>860.0</v>
      </c>
      <c r="W129" s="81">
        <v>780.0</v>
      </c>
      <c r="X129" s="72"/>
      <c r="Y129" s="81">
        <v>730.0</v>
      </c>
      <c r="Z129" s="81">
        <v>740.0</v>
      </c>
      <c r="AA129" s="72"/>
      <c r="AB129" s="72" t="str">
        <f t="shared" si="1"/>
        <v>1</v>
      </c>
      <c r="AC129" s="72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</row>
    <row r="130" ht="15.0" customHeight="1">
      <c r="A130" s="72" t="str">
        <f>COUNTIFS(NIFTY!$B$7:$B$56,Summary!B130)</f>
        <v>0</v>
      </c>
      <c r="B130" s="73" t="str">
        <f>HYPERLINK("C:\Users\Natik\Desktop\_\All Stock Work\Max Pain Analysis\Stocks\TATAGLOBAL - TATA GLOBAL BEVERAGES LIMITED.xlsx","TATAGLOBAL")</f>
        <v>TATAGLOBAL</v>
      </c>
      <c r="C130" s="74" t="s">
        <v>399</v>
      </c>
      <c r="D130" s="75">
        <v>369.0</v>
      </c>
      <c r="E130" s="76">
        <v>367.6</v>
      </c>
      <c r="F130" s="76">
        <v>370.15</v>
      </c>
      <c r="G130" s="76">
        <v>361.2</v>
      </c>
      <c r="H130" s="76">
        <v>365.65</v>
      </c>
      <c r="I130" s="77">
        <v>365.9</v>
      </c>
      <c r="J130" s="78" t="s">
        <v>605</v>
      </c>
      <c r="K130" s="79"/>
      <c r="L130" s="75">
        <v>370.6</v>
      </c>
      <c r="M130" s="76">
        <v>367.0</v>
      </c>
      <c r="N130" s="80">
        <v>368.8</v>
      </c>
      <c r="O130" s="79"/>
      <c r="P130" s="81">
        <v>385.0</v>
      </c>
      <c r="Q130" s="81">
        <v>367.85181773696786</v>
      </c>
      <c r="R130" s="81">
        <v>358.09348425733</v>
      </c>
      <c r="S130" s="72"/>
      <c r="T130" s="81"/>
      <c r="U130" s="79"/>
      <c r="V130" s="81">
        <v>445.0</v>
      </c>
      <c r="W130" s="81">
        <v>400.0</v>
      </c>
      <c r="X130" s="72"/>
      <c r="Y130" s="81">
        <v>370.0</v>
      </c>
      <c r="Z130" s="81">
        <v>390.0</v>
      </c>
      <c r="AA130" s="72"/>
      <c r="AB130" s="72" t="str">
        <f t="shared" si="1"/>
        <v>1</v>
      </c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</row>
    <row r="131" ht="15.0" customHeight="1">
      <c r="A131" s="72" t="str">
        <f>COUNTIFS(NIFTY!$B$7:$B$56,Summary!B131)</f>
        <v>1</v>
      </c>
      <c r="B131" s="73" t="str">
        <f>HYPERLINK("C:\Users\Natik\Desktop\_\All Stock Work\Max Pain Analysis\Stocks\TATAMOTORS - TATA MOTORS LIMITED.xlsx","TATAMOTORS")</f>
        <v>TATAMOTORS</v>
      </c>
      <c r="C131" s="74" t="s">
        <v>402</v>
      </c>
      <c r="D131" s="75">
        <v>75.5</v>
      </c>
      <c r="E131" s="76">
        <v>70.0</v>
      </c>
      <c r="F131" s="76">
        <v>76.5</v>
      </c>
      <c r="G131" s="76">
        <v>68.75</v>
      </c>
      <c r="H131" s="76">
        <v>72.95</v>
      </c>
      <c r="I131" s="77">
        <v>72.9</v>
      </c>
      <c r="J131" s="78" t="s">
        <v>606</v>
      </c>
      <c r="K131" s="79"/>
      <c r="L131" s="75">
        <v>72.05</v>
      </c>
      <c r="M131" s="76">
        <v>72.2</v>
      </c>
      <c r="N131" s="80">
        <v>72.35</v>
      </c>
      <c r="O131" s="79"/>
      <c r="P131" s="81">
        <v>90.0</v>
      </c>
      <c r="Q131" s="81">
        <v>91.73166414678607</v>
      </c>
      <c r="R131" s="81">
        <v>87.82148795930584</v>
      </c>
      <c r="S131" s="72"/>
      <c r="T131" s="81"/>
      <c r="U131" s="79"/>
      <c r="V131" s="81">
        <v>150.0</v>
      </c>
      <c r="W131" s="81">
        <v>90.0</v>
      </c>
      <c r="X131" s="72"/>
      <c r="Y131" s="81">
        <v>80.0</v>
      </c>
      <c r="Z131" s="81">
        <v>70.0</v>
      </c>
      <c r="AA131" s="72"/>
      <c r="AB131" s="72" t="str">
        <f t="shared" si="1"/>
        <v>1</v>
      </c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</row>
    <row r="132" ht="15.0" customHeight="1">
      <c r="A132" s="72" t="str">
        <f>COUNTIFS(NIFTY!$B$7:$B$56,Summary!B132)</f>
        <v>0</v>
      </c>
      <c r="B132" s="73" t="str">
        <f>HYPERLINK("C:\Users\Natik\Desktop\_\All Stock Work\Max Pain Analysis\Stocks\TATAMTRDVR - TATA MOTORS LIMITED.xlsx","TATAMTRDVR")</f>
        <v>TATAMTRDVR</v>
      </c>
      <c r="C132" s="74" t="s">
        <v>402</v>
      </c>
      <c r="D132" s="75">
        <v>37.25</v>
      </c>
      <c r="E132" s="76">
        <v>35.9</v>
      </c>
      <c r="F132" s="76">
        <v>35.9</v>
      </c>
      <c r="G132" s="76">
        <v>32.15</v>
      </c>
      <c r="H132" s="76">
        <v>32.55</v>
      </c>
      <c r="I132" s="77">
        <v>32.3</v>
      </c>
      <c r="J132" s="78" t="s">
        <v>607</v>
      </c>
      <c r="K132" s="79"/>
      <c r="L132" s="75">
        <v>76.2</v>
      </c>
      <c r="M132" s="76"/>
      <c r="N132" s="80"/>
      <c r="O132" s="79"/>
      <c r="P132" s="81">
        <v>75.0</v>
      </c>
      <c r="Q132" s="81">
        <v>76.29084299950988</v>
      </c>
      <c r="R132" s="81">
        <v>69.73958333333333</v>
      </c>
      <c r="S132" s="72"/>
      <c r="T132" s="81"/>
      <c r="U132" s="79"/>
      <c r="V132" s="81">
        <v>85.0</v>
      </c>
      <c r="W132" s="81">
        <v>90.0</v>
      </c>
      <c r="X132" s="72"/>
      <c r="Y132" s="81">
        <v>70.0</v>
      </c>
      <c r="Z132" s="81">
        <v>75.0</v>
      </c>
      <c r="AA132" s="72"/>
      <c r="AB132" s="72" t="str">
        <f t="shared" si="1"/>
        <v>1</v>
      </c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</row>
    <row r="133" ht="15.0" customHeight="1">
      <c r="A133" s="72" t="str">
        <f>COUNTIFS(NIFTY!$B$7:$B$56,Summary!B133)</f>
        <v>0</v>
      </c>
      <c r="B133" s="73" t="str">
        <f>HYPERLINK("C:\Users\Natik\Desktop\_\All Stock Work\Max Pain Analysis\Stocks\TATAPOWER - TATA POWER COMPANY LIMITED.xlsx","TATAPOWER")</f>
        <v>TATAPOWER</v>
      </c>
      <c r="C133" s="74" t="s">
        <v>407</v>
      </c>
      <c r="D133" s="75">
        <v>51.85</v>
      </c>
      <c r="E133" s="76">
        <v>52.15</v>
      </c>
      <c r="F133" s="76">
        <v>52.95</v>
      </c>
      <c r="G133" s="76">
        <v>51.55</v>
      </c>
      <c r="H133" s="76">
        <v>51.7</v>
      </c>
      <c r="I133" s="77">
        <v>51.65</v>
      </c>
      <c r="J133" s="78">
        <v>7099808.0</v>
      </c>
      <c r="K133" s="79"/>
      <c r="L133" s="75">
        <v>51.55</v>
      </c>
      <c r="M133" s="76">
        <v>51.75</v>
      </c>
      <c r="N133" s="80">
        <v>52.7</v>
      </c>
      <c r="O133" s="79"/>
      <c r="P133" s="81">
        <v>55.0</v>
      </c>
      <c r="Q133" s="81">
        <v>55.504899675621076</v>
      </c>
      <c r="R133" s="81">
        <v>49.01935431301409</v>
      </c>
      <c r="S133" s="72"/>
      <c r="T133" s="81"/>
      <c r="U133" s="79"/>
      <c r="V133" s="81">
        <v>77.0</v>
      </c>
      <c r="W133" s="81">
        <v>60.0</v>
      </c>
      <c r="X133" s="72"/>
      <c r="Y133" s="81">
        <v>55.0</v>
      </c>
      <c r="Z133" s="81">
        <v>58.0</v>
      </c>
      <c r="AA133" s="72"/>
      <c r="AB133" s="72" t="str">
        <f t="shared" si="1"/>
        <v>1</v>
      </c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</row>
    <row r="134" ht="15.0" customHeight="1">
      <c r="A134" s="72" t="str">
        <f>COUNTIFS(NIFTY!$B$7:$B$56,Summary!B134)</f>
        <v>1</v>
      </c>
      <c r="B134" s="73" t="str">
        <f>HYPERLINK("C:\Users\Natik\Desktop\_\All Stock Work\Max Pain Analysis\Stocks\TATASTEEL - TATA STEEL LIMITED.xlsx","TATASTEEL")</f>
        <v>TATASTEEL</v>
      </c>
      <c r="C134" s="74" t="s">
        <v>410</v>
      </c>
      <c r="D134" s="75">
        <v>415.45</v>
      </c>
      <c r="E134" s="76">
        <v>419.0</v>
      </c>
      <c r="F134" s="76">
        <v>425.55</v>
      </c>
      <c r="G134" s="76">
        <v>414.4</v>
      </c>
      <c r="H134" s="76">
        <v>421.3</v>
      </c>
      <c r="I134" s="77">
        <v>421.8</v>
      </c>
      <c r="J134" s="78" t="s">
        <v>608</v>
      </c>
      <c r="K134" s="79"/>
      <c r="L134" s="75">
        <v>422.75</v>
      </c>
      <c r="M134" s="76">
        <v>424.5</v>
      </c>
      <c r="N134" s="80">
        <v>426.05</v>
      </c>
      <c r="O134" s="79"/>
      <c r="P134" s="81">
        <v>440.0</v>
      </c>
      <c r="Q134" s="81">
        <v>402.34316477937085</v>
      </c>
      <c r="R134" s="81">
        <v>389.59436288162436</v>
      </c>
      <c r="S134" s="72"/>
      <c r="T134" s="81"/>
      <c r="U134" s="79"/>
      <c r="V134" s="81">
        <v>560.0</v>
      </c>
      <c r="W134" s="81">
        <v>500.0</v>
      </c>
      <c r="X134" s="72"/>
      <c r="Y134" s="81">
        <v>420.0</v>
      </c>
      <c r="Z134" s="81">
        <v>400.0</v>
      </c>
      <c r="AA134" s="72"/>
      <c r="AB134" s="72" t="str">
        <f t="shared" si="1"/>
        <v>0</v>
      </c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</row>
    <row r="135" ht="15.0" customHeight="1">
      <c r="A135" s="72" t="str">
        <f>COUNTIFS(NIFTY!$B$7:$B$56,Summary!B135)</f>
        <v>1</v>
      </c>
      <c r="B135" s="73" t="str">
        <f>HYPERLINK("C:\Users\Natik\Desktop\_\All Stock Work\Max Pain Analysis\Stocks\TCS - TATA CONSULTANCY SERVICES LIMITED.xlsx","TCS")</f>
        <v>TCS</v>
      </c>
      <c r="C135" s="74" t="s">
        <v>413</v>
      </c>
      <c r="D135" s="75">
        <v>2115.35</v>
      </c>
      <c r="E135" s="76">
        <v>2115.5</v>
      </c>
      <c r="F135" s="76">
        <v>2176.65</v>
      </c>
      <c r="G135" s="76">
        <v>2111.0</v>
      </c>
      <c r="H135" s="76">
        <v>2156.15</v>
      </c>
      <c r="I135" s="77">
        <v>2163.0</v>
      </c>
      <c r="J135" s="78">
        <v>2674567.0</v>
      </c>
      <c r="K135" s="79"/>
      <c r="L135" s="75">
        <v>2160.85</v>
      </c>
      <c r="M135" s="76">
        <v>2150.95</v>
      </c>
      <c r="N135" s="80">
        <v>2158.2</v>
      </c>
      <c r="O135" s="79"/>
      <c r="P135" s="81">
        <v>2160.0</v>
      </c>
      <c r="Q135" s="81">
        <v>2095.703192921143</v>
      </c>
      <c r="R135" s="81">
        <v>2074.443790431398</v>
      </c>
      <c r="S135" s="72"/>
      <c r="T135" s="81"/>
      <c r="U135" s="79"/>
      <c r="V135" s="81">
        <v>2200.0</v>
      </c>
      <c r="W135" s="81">
        <v>2240.0</v>
      </c>
      <c r="X135" s="72"/>
      <c r="Y135" s="81">
        <v>1900.0</v>
      </c>
      <c r="Z135" s="81">
        <v>2100.0</v>
      </c>
      <c r="AA135" s="72"/>
      <c r="AB135" s="72" t="str">
        <f t="shared" si="1"/>
        <v>0</v>
      </c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</row>
    <row r="136" ht="15.0" customHeight="1">
      <c r="A136" s="72" t="str">
        <f>COUNTIFS(NIFTY!$B$7:$B$56,Summary!B136)</f>
        <v>1</v>
      </c>
      <c r="B136" s="73" t="str">
        <f>HYPERLINK("C:\Users\Natik\Desktop\_\All Stock Work\Max Pain Analysis\Stocks\TECHM - TECH MAHINDRA LIMITED.xlsx","TECHM")</f>
        <v>TECHM</v>
      </c>
      <c r="C136" s="74" t="s">
        <v>417</v>
      </c>
      <c r="D136" s="75">
        <v>820.1</v>
      </c>
      <c r="E136" s="76">
        <v>822.0</v>
      </c>
      <c r="F136" s="76">
        <v>826.8</v>
      </c>
      <c r="G136" s="76">
        <v>809.05</v>
      </c>
      <c r="H136" s="76">
        <v>822.1</v>
      </c>
      <c r="I136" s="77">
        <v>824.95</v>
      </c>
      <c r="J136" s="78">
        <v>2479975.0</v>
      </c>
      <c r="K136" s="79"/>
      <c r="L136" s="75">
        <v>826.1</v>
      </c>
      <c r="M136" s="76">
        <v>821.0</v>
      </c>
      <c r="N136" s="80">
        <v>819.05</v>
      </c>
      <c r="O136" s="79"/>
      <c r="P136" s="81">
        <v>820.0</v>
      </c>
      <c r="Q136" s="81">
        <v>818.3138610713718</v>
      </c>
      <c r="R136" s="81">
        <v>810.9834733231653</v>
      </c>
      <c r="S136" s="72"/>
      <c r="T136" s="81"/>
      <c r="U136" s="79"/>
      <c r="V136" s="81">
        <v>840.0</v>
      </c>
      <c r="W136" s="81">
        <v>850.0</v>
      </c>
      <c r="X136" s="72"/>
      <c r="Y136" s="81">
        <v>800.0</v>
      </c>
      <c r="Z136" s="81">
        <v>820.0</v>
      </c>
      <c r="AA136" s="72"/>
      <c r="AB136" s="72" t="str">
        <f t="shared" si="1"/>
        <v>0</v>
      </c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</row>
    <row r="137" ht="15.0" customHeight="1">
      <c r="A137" s="72" t="str">
        <f>COUNTIFS(NIFTY!$B$7:$B$56,Summary!B137)</f>
        <v>1</v>
      </c>
      <c r="B137" s="73" t="str">
        <f>HYPERLINK("C:\Users\Natik\Desktop\_\All Stock Work\Max Pain Analysis\Stocks\TITAN - TITAN COMPANY LIMITED.xlsx","TITAN")</f>
        <v>TITAN</v>
      </c>
      <c r="C137" s="74" t="s">
        <v>420</v>
      </c>
      <c r="D137" s="75">
        <v>1279.9</v>
      </c>
      <c r="E137" s="76">
        <v>1285.0</v>
      </c>
      <c r="F137" s="76">
        <v>1286.75</v>
      </c>
      <c r="G137" s="76">
        <v>1256.8</v>
      </c>
      <c r="H137" s="76">
        <v>1260.1</v>
      </c>
      <c r="I137" s="77">
        <v>1265.0</v>
      </c>
      <c r="J137" s="78">
        <v>1358874.0</v>
      </c>
      <c r="K137" s="79"/>
      <c r="L137" s="75">
        <v>1264.7</v>
      </c>
      <c r="M137" s="76">
        <v>1266.45</v>
      </c>
      <c r="N137" s="80">
        <v>1268.7</v>
      </c>
      <c r="O137" s="79"/>
      <c r="P137" s="81">
        <v>1280.0</v>
      </c>
      <c r="Q137" s="81">
        <v>1242.0925927627168</v>
      </c>
      <c r="R137" s="81">
        <v>1221.1865891714424</v>
      </c>
      <c r="S137" s="72"/>
      <c r="T137" s="81"/>
      <c r="U137" s="79"/>
      <c r="V137" s="81">
        <v>1580.0</v>
      </c>
      <c r="W137" s="81">
        <v>1340.0</v>
      </c>
      <c r="X137" s="72"/>
      <c r="Y137" s="81">
        <v>1280.0</v>
      </c>
      <c r="Z137" s="81">
        <v>1260.0</v>
      </c>
      <c r="AA137" s="72"/>
      <c r="AB137" s="72" t="str">
        <f t="shared" si="1"/>
        <v>0</v>
      </c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</row>
    <row r="138" ht="15.0" customHeight="1">
      <c r="A138" s="72" t="str">
        <f>COUNTIFS(NIFTY!$B$7:$B$56,Summary!B138)</f>
        <v>0</v>
      </c>
      <c r="B138" s="73" t="str">
        <f>HYPERLINK("C:\Users\Natik\Desktop\_\All Stock Work\Max Pain Analysis\Stocks\TORNTPHARM - TORRENT PHARMACEUTICALS LIMITED.xlsx","TORNTPHARM")</f>
        <v>TORNTPHARM</v>
      </c>
      <c r="C138" s="74" t="s">
        <v>423</v>
      </c>
      <c r="D138" s="75">
        <v>2170.95</v>
      </c>
      <c r="E138" s="76">
        <v>2172.0</v>
      </c>
      <c r="F138" s="76">
        <v>2229.85</v>
      </c>
      <c r="G138" s="76">
        <v>2165.0</v>
      </c>
      <c r="H138" s="76">
        <v>2208.95</v>
      </c>
      <c r="I138" s="77">
        <v>2218.0</v>
      </c>
      <c r="J138" s="78">
        <v>246177.0</v>
      </c>
      <c r="K138" s="79"/>
      <c r="L138" s="75">
        <v>2213.2</v>
      </c>
      <c r="M138" s="76">
        <v>2168.6</v>
      </c>
      <c r="N138" s="80"/>
      <c r="O138" s="79"/>
      <c r="P138" s="81">
        <v>2080.0</v>
      </c>
      <c r="Q138" s="81">
        <v>2050.9559082892415</v>
      </c>
      <c r="R138" s="81">
        <v>2009.2298388838494</v>
      </c>
      <c r="S138" s="72"/>
      <c r="T138" s="81"/>
      <c r="U138" s="79"/>
      <c r="V138" s="81">
        <v>2260.0</v>
      </c>
      <c r="W138" s="81">
        <v>2100.0</v>
      </c>
      <c r="X138" s="72"/>
      <c r="Y138" s="81">
        <v>2000.0</v>
      </c>
      <c r="Z138" s="81">
        <v>2100.0</v>
      </c>
      <c r="AA138" s="72"/>
      <c r="AB138" s="72" t="str">
        <f t="shared" si="1"/>
        <v>0</v>
      </c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</row>
    <row r="139" ht="15.0" customHeight="1">
      <c r="A139" s="72" t="str">
        <f>COUNTIFS(NIFTY!$B$7:$B$56,Summary!B139)</f>
        <v>0</v>
      </c>
      <c r="B139" s="73" t="str">
        <f>HYPERLINK("C:\Users\Natik\Desktop\_\All Stock Work\Max Pain Analysis\Stocks\TORNTPOWER - TORRENT POWER LIMITED.xlsx","TORNTPOWER")</f>
        <v>TORNTPOWER</v>
      </c>
      <c r="C139" s="74" t="s">
        <v>426</v>
      </c>
      <c r="D139" s="75">
        <v>314.05</v>
      </c>
      <c r="E139" s="76">
        <v>314.9</v>
      </c>
      <c r="F139" s="76">
        <v>318.75</v>
      </c>
      <c r="G139" s="76">
        <v>308.7</v>
      </c>
      <c r="H139" s="76" t="s">
        <v>524</v>
      </c>
      <c r="I139" s="77">
        <v>309.9</v>
      </c>
      <c r="J139" s="78">
        <v>936902.0</v>
      </c>
      <c r="K139" s="79"/>
      <c r="L139" s="75">
        <v>309.0</v>
      </c>
      <c r="M139" s="76">
        <v>310.1</v>
      </c>
      <c r="N139" s="80"/>
      <c r="O139" s="79"/>
      <c r="P139" s="81">
        <v>310.0</v>
      </c>
      <c r="Q139" s="81">
        <v>290.92057421191646</v>
      </c>
      <c r="R139" s="81">
        <v>277.9174722285939</v>
      </c>
      <c r="S139" s="72"/>
      <c r="T139" s="81"/>
      <c r="U139" s="79"/>
      <c r="V139" s="81">
        <v>350.0</v>
      </c>
      <c r="W139" s="81">
        <v>330.0</v>
      </c>
      <c r="X139" s="72"/>
      <c r="Y139" s="81">
        <v>300.0</v>
      </c>
      <c r="Z139" s="81">
        <v>290.0</v>
      </c>
      <c r="AA139" s="72"/>
      <c r="AB139" s="72" t="str">
        <f t="shared" si="1"/>
        <v>0</v>
      </c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</row>
    <row r="140" ht="15.0" customHeight="1">
      <c r="A140" s="72" t="str">
        <f>COUNTIFS(NIFTY!$B$7:$B$56,Summary!B140)</f>
        <v>0</v>
      </c>
      <c r="B140" s="73" t="str">
        <f>HYPERLINK("C:\Users\Natik\Desktop\_\All Stock Work\Max Pain Analysis\Stocks\TVSMOTOR - TVS MOTOR COMPANY LIMITED.xlsx","TVSMOTOR")</f>
        <v>TVSMOTOR</v>
      </c>
      <c r="C140" s="74" t="s">
        <v>429</v>
      </c>
      <c r="D140" s="75">
        <v>446.45</v>
      </c>
      <c r="E140" s="76">
        <v>446.4</v>
      </c>
      <c r="F140" s="76">
        <v>448.45</v>
      </c>
      <c r="G140" s="76">
        <v>436.25</v>
      </c>
      <c r="H140" s="76" t="s">
        <v>524</v>
      </c>
      <c r="I140" s="77">
        <v>437.5</v>
      </c>
      <c r="J140" s="78">
        <v>1050427.0</v>
      </c>
      <c r="K140" s="79"/>
      <c r="L140" s="75">
        <v>435.4</v>
      </c>
      <c r="M140" s="76">
        <v>427.95</v>
      </c>
      <c r="N140" s="80">
        <v>433.0</v>
      </c>
      <c r="O140" s="79"/>
      <c r="P140" s="81">
        <v>450.0</v>
      </c>
      <c r="Q140" s="81">
        <v>417.759038544537</v>
      </c>
      <c r="R140" s="81">
        <v>414.524970351825</v>
      </c>
      <c r="S140" s="72"/>
      <c r="T140" s="81"/>
      <c r="U140" s="79"/>
      <c r="V140" s="81">
        <v>480.0</v>
      </c>
      <c r="W140" s="81">
        <v>470.0</v>
      </c>
      <c r="X140" s="72"/>
      <c r="Y140" s="81">
        <v>440.0</v>
      </c>
      <c r="Z140" s="81">
        <v>460.0</v>
      </c>
      <c r="AA140" s="72"/>
      <c r="AB140" s="72" t="str">
        <f t="shared" si="1"/>
        <v>0</v>
      </c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</row>
    <row r="141" ht="15.0" customHeight="1">
      <c r="A141" s="72" t="str">
        <f>COUNTIFS(NIFTY!$B$7:$B$56,Summary!B141)</f>
        <v>0</v>
      </c>
      <c r="B141" s="73" t="str">
        <f>HYPERLINK("C:\Users\Natik\Desktop\_\All Stock Work\Max Pain Analysis\Stocks\UBL - UNITED BREWERIES LIMITED.xlsx","UBL")</f>
        <v>UBL</v>
      </c>
      <c r="C141" s="74" t="s">
        <v>432</v>
      </c>
      <c r="D141" s="75">
        <v>1267.0</v>
      </c>
      <c r="E141" s="76">
        <v>1266.95</v>
      </c>
      <c r="F141" s="76">
        <v>1283.1</v>
      </c>
      <c r="G141" s="76">
        <v>1232.05</v>
      </c>
      <c r="H141" s="76" t="s">
        <v>524</v>
      </c>
      <c r="I141" s="77">
        <v>1238.5</v>
      </c>
      <c r="J141" s="78">
        <v>339871.0</v>
      </c>
      <c r="K141" s="79"/>
      <c r="L141" s="75">
        <v>1273.3</v>
      </c>
      <c r="M141" s="76">
        <v>1288.25</v>
      </c>
      <c r="N141" s="80"/>
      <c r="O141" s="79"/>
      <c r="P141" s="81">
        <v>1300.0</v>
      </c>
      <c r="Q141" s="81">
        <v>1224.4757496478164</v>
      </c>
      <c r="R141" s="81">
        <v>1219.5226034511034</v>
      </c>
      <c r="S141" s="72"/>
      <c r="T141" s="81"/>
      <c r="U141" s="79"/>
      <c r="V141" s="81">
        <v>1660.0</v>
      </c>
      <c r="W141" s="81">
        <v>1300.0</v>
      </c>
      <c r="X141" s="72"/>
      <c r="Y141" s="81">
        <v>1240.0</v>
      </c>
      <c r="Z141" s="81">
        <v>1300.0</v>
      </c>
      <c r="AA141" s="72"/>
      <c r="AB141" s="72" t="str">
        <f t="shared" si="1"/>
        <v>0</v>
      </c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</row>
    <row r="142" ht="15.0" customHeight="1">
      <c r="A142" s="72" t="str">
        <f>COUNTIFS(NIFTY!$B$7:$B$56,Summary!B142)</f>
        <v>0</v>
      </c>
      <c r="B142" s="73" t="str">
        <f>HYPERLINK("C:\Users\Natik\Desktop\_\All Stock Work\Max Pain Analysis\Stocks\UJJIVAN - UJJIVAN FINANCIAL SERVICES LIMITED.xlsx","UJJIVAN")</f>
        <v>UJJIVAN</v>
      </c>
      <c r="C142" s="74" t="s">
        <v>435</v>
      </c>
      <c r="D142" s="75">
        <v>332.9</v>
      </c>
      <c r="E142" s="76">
        <v>335.85</v>
      </c>
      <c r="F142" s="76">
        <v>340.85</v>
      </c>
      <c r="G142" s="76">
        <v>328.35</v>
      </c>
      <c r="H142" s="76" t="s">
        <v>524</v>
      </c>
      <c r="I142" s="77">
        <v>333.4</v>
      </c>
      <c r="J142" s="78">
        <v>1145295.0</v>
      </c>
      <c r="K142" s="79"/>
      <c r="L142" s="75">
        <v>334.55</v>
      </c>
      <c r="M142" s="76">
        <v>334.65</v>
      </c>
      <c r="N142" s="80">
        <v>334.7</v>
      </c>
      <c r="O142" s="79"/>
      <c r="P142" s="81">
        <v>340.0</v>
      </c>
      <c r="Q142" s="81">
        <v>321.24964455967216</v>
      </c>
      <c r="R142" s="81">
        <v>319.7627491134309</v>
      </c>
      <c r="S142" s="72"/>
      <c r="T142" s="81"/>
      <c r="U142" s="79"/>
      <c r="V142" s="81">
        <v>360.0</v>
      </c>
      <c r="W142" s="81">
        <v>370.0</v>
      </c>
      <c r="X142" s="72"/>
      <c r="Y142" s="81">
        <v>320.0</v>
      </c>
      <c r="Z142" s="81">
        <v>320.0</v>
      </c>
      <c r="AA142" s="72"/>
      <c r="AB142" s="72" t="str">
        <f t="shared" si="1"/>
        <v>0</v>
      </c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</row>
    <row r="143" ht="15.75" customHeight="1">
      <c r="A143" s="72" t="str">
        <f>COUNTIFS(NIFTY!$B$7:$B$56,Summary!B143)</f>
        <v>1</v>
      </c>
      <c r="B143" s="73" t="str">
        <f>HYPERLINK("C:\Users\Natik\Desktop\_\All Stock Work\Max Pain Analysis\Stocks\ULTRACEMCO - ULTRATECH CEMENT LIMITED.xlsx","ULTRACEMCO")</f>
        <v>ULTRACEMCO</v>
      </c>
      <c r="C143" s="74" t="s">
        <v>438</v>
      </c>
      <c r="D143" s="75">
        <v>4157.1</v>
      </c>
      <c r="E143" s="76">
        <v>4199.55</v>
      </c>
      <c r="F143" s="76">
        <v>4254.0</v>
      </c>
      <c r="G143" s="76">
        <v>4164.05</v>
      </c>
      <c r="H143" s="76" t="s">
        <v>524</v>
      </c>
      <c r="I143" s="77">
        <v>4239.95</v>
      </c>
      <c r="J143" s="78">
        <v>524372.0</v>
      </c>
      <c r="K143" s="79"/>
      <c r="L143" s="75">
        <v>4262.0</v>
      </c>
      <c r="M143" s="76">
        <v>4285.0</v>
      </c>
      <c r="N143" s="80" t="s">
        <v>524</v>
      </c>
      <c r="O143" s="79"/>
      <c r="P143" s="81">
        <v>4300.0</v>
      </c>
      <c r="Q143" s="81">
        <v>4283.171653088838</v>
      </c>
      <c r="R143" s="81">
        <v>3901.1312124580954</v>
      </c>
      <c r="S143" s="72"/>
      <c r="T143" s="81"/>
      <c r="U143" s="79"/>
      <c r="V143" s="81">
        <v>5150.0</v>
      </c>
      <c r="W143" s="81">
        <v>4300.0</v>
      </c>
      <c r="X143" s="72"/>
      <c r="Y143" s="81">
        <v>4800.0</v>
      </c>
      <c r="Z143" s="81">
        <v>5000.0</v>
      </c>
      <c r="AA143" s="72"/>
      <c r="AB143" s="72" t="str">
        <f t="shared" si="1"/>
        <v>1</v>
      </c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</row>
    <row r="144" ht="15.75" customHeight="1">
      <c r="A144" s="72" t="str">
        <f>COUNTIFS(NIFTY!$B$7:$B$56,Summary!B144)</f>
        <v>1</v>
      </c>
      <c r="B144" s="73" t="str">
        <f>HYPERLINK("C:\Users\Natik\Desktop\_\All Stock Work\Max Pain Analysis\Stocks\UPL - UPL LIMITED.xlsx","UPL")</f>
        <v>UPL</v>
      </c>
      <c r="C144" s="74" t="s">
        <v>441</v>
      </c>
      <c r="D144" s="75">
        <v>584.95</v>
      </c>
      <c r="E144" s="76">
        <v>584.95</v>
      </c>
      <c r="F144" s="76">
        <v>604.0</v>
      </c>
      <c r="G144" s="76">
        <v>583.05</v>
      </c>
      <c r="H144" s="76" t="s">
        <v>524</v>
      </c>
      <c r="I144" s="77">
        <v>595.0</v>
      </c>
      <c r="J144" s="78">
        <v>4247207.0</v>
      </c>
      <c r="K144" s="79"/>
      <c r="L144" s="75">
        <v>596.9</v>
      </c>
      <c r="M144" s="76">
        <v>600.0</v>
      </c>
      <c r="N144" s="80">
        <v>603.65</v>
      </c>
      <c r="O144" s="79"/>
      <c r="P144" s="81">
        <v>580.0</v>
      </c>
      <c r="Q144" s="81">
        <v>550.7497098908173</v>
      </c>
      <c r="R144" s="81">
        <v>520.41331508472</v>
      </c>
      <c r="S144" s="72"/>
      <c r="T144" s="81"/>
      <c r="U144" s="79"/>
      <c r="V144" s="81">
        <v>600.0</v>
      </c>
      <c r="W144" s="81">
        <v>620.0</v>
      </c>
      <c r="X144" s="72"/>
      <c r="Y144" s="81">
        <v>580.0</v>
      </c>
      <c r="Z144" s="81">
        <v>560.0</v>
      </c>
      <c r="AA144" s="72"/>
      <c r="AB144" s="72" t="str">
        <f t="shared" si="1"/>
        <v>0</v>
      </c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</row>
    <row r="145" ht="15.75" customHeight="1">
      <c r="A145" s="72" t="str">
        <f>COUNTIFS(NIFTY!$B$7:$B$56,Summary!B145)</f>
        <v>1</v>
      </c>
      <c r="B145" s="73" t="str">
        <f>HYPERLINK("C:\Users\Natik\Desktop\_\All Stock Work\Max Pain Analysis\Stocks\VEDL - VEDANTA LIMITED.xlsx","VEDL")</f>
        <v>VEDL</v>
      </c>
      <c r="C145" s="74" t="s">
        <v>444</v>
      </c>
      <c r="D145" s="75">
        <v>150.55</v>
      </c>
      <c r="E145" s="76">
        <v>152.8</v>
      </c>
      <c r="F145" s="76">
        <v>156.8</v>
      </c>
      <c r="G145" s="76">
        <v>152.55</v>
      </c>
      <c r="H145" s="76" t="s">
        <v>524</v>
      </c>
      <c r="I145" s="77">
        <v>156.05</v>
      </c>
      <c r="J145" s="78" t="s">
        <v>609</v>
      </c>
      <c r="K145" s="79"/>
      <c r="L145" s="75">
        <v>156.3</v>
      </c>
      <c r="M145" s="76">
        <v>156.9</v>
      </c>
      <c r="N145" s="80">
        <v>156.6</v>
      </c>
      <c r="O145" s="79"/>
      <c r="P145" s="81">
        <v>160.0</v>
      </c>
      <c r="Q145" s="81">
        <v>156.875830318974</v>
      </c>
      <c r="R145" s="81">
        <v>148.0502625470164</v>
      </c>
      <c r="S145" s="72"/>
      <c r="T145" s="81"/>
      <c r="U145" s="79"/>
      <c r="V145" s="81">
        <v>160.0</v>
      </c>
      <c r="W145" s="81">
        <v>170.0</v>
      </c>
      <c r="X145" s="72"/>
      <c r="Y145" s="81">
        <v>150.0</v>
      </c>
      <c r="Z145" s="81">
        <v>140.0</v>
      </c>
      <c r="AA145" s="72"/>
      <c r="AB145" s="72" t="str">
        <f t="shared" si="1"/>
        <v>1</v>
      </c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</row>
    <row r="146" ht="15.75" customHeight="1">
      <c r="A146" s="72" t="str">
        <f>COUNTIFS(NIFTY!$B$7:$B$56,Summary!B146)</f>
        <v>0</v>
      </c>
      <c r="B146" s="73" t="str">
        <f>HYPERLINK("C:\Users\Natik\Desktop\_\All Stock Work\Max Pain Analysis\Stocks\VOLTAS - VOLTAS LIMITED.xlsx","VOLTAS")</f>
        <v>VOLTAS</v>
      </c>
      <c r="C146" s="74" t="s">
        <v>447</v>
      </c>
      <c r="D146" s="75">
        <v>649.9</v>
      </c>
      <c r="E146" s="76">
        <v>651.1</v>
      </c>
      <c r="F146" s="76">
        <v>660.0</v>
      </c>
      <c r="G146" s="76">
        <v>650.25</v>
      </c>
      <c r="H146" s="76" t="s">
        <v>524</v>
      </c>
      <c r="I146" s="77">
        <v>654.2</v>
      </c>
      <c r="J146" s="78">
        <v>1007897.0</v>
      </c>
      <c r="K146" s="79"/>
      <c r="L146" s="75">
        <v>658.65</v>
      </c>
      <c r="M146" s="76">
        <v>660.6</v>
      </c>
      <c r="N146" s="80" t="s">
        <v>524</v>
      </c>
      <c r="O146" s="79"/>
      <c r="P146" s="81">
        <v>660.0</v>
      </c>
      <c r="Q146" s="81">
        <v>644.2890761711286</v>
      </c>
      <c r="R146" s="81">
        <v>642.3510538031163</v>
      </c>
      <c r="S146" s="72"/>
      <c r="T146" s="81"/>
      <c r="U146" s="79"/>
      <c r="V146" s="81">
        <v>820.0</v>
      </c>
      <c r="W146" s="81">
        <v>680.0</v>
      </c>
      <c r="X146" s="72"/>
      <c r="Y146" s="81">
        <v>640.0</v>
      </c>
      <c r="Z146" s="81">
        <v>630.0</v>
      </c>
      <c r="AA146" s="72"/>
      <c r="AB146" s="72" t="str">
        <f t="shared" si="1"/>
        <v>0</v>
      </c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</row>
    <row r="147" ht="15.75" customHeight="1">
      <c r="A147" s="72" t="str">
        <f>COUNTIFS(NIFTY!$B$7:$B$56,Summary!B147)</f>
        <v>1</v>
      </c>
      <c r="B147" s="73" t="str">
        <f>HYPERLINK("C:\Users\Natik\Desktop\_\All Stock Work\Max Pain Analysis\Stocks\WIPRO - WIPRO LIMITED.xlsx","WIPRO")</f>
        <v>WIPRO</v>
      </c>
      <c r="C147" s="74" t="s">
        <v>450</v>
      </c>
      <c r="D147" s="75">
        <v>252.15</v>
      </c>
      <c r="E147" s="76">
        <v>253.25</v>
      </c>
      <c r="F147" s="76">
        <v>256.35</v>
      </c>
      <c r="G147" s="76">
        <v>250.2</v>
      </c>
      <c r="H147" s="76" t="s">
        <v>524</v>
      </c>
      <c r="I147" s="77">
        <v>255.0</v>
      </c>
      <c r="J147" s="78">
        <v>4402787.0</v>
      </c>
      <c r="K147" s="79"/>
      <c r="L147" s="75">
        <v>255.8</v>
      </c>
      <c r="M147" s="76">
        <v>256.45</v>
      </c>
      <c r="N147" s="80">
        <v>252.65</v>
      </c>
      <c r="O147" s="79"/>
      <c r="P147" s="81">
        <v>250.0</v>
      </c>
      <c r="Q147" s="81">
        <v>246.1873627167081</v>
      </c>
      <c r="R147" s="81">
        <v>237.0180044050607</v>
      </c>
      <c r="S147" s="72"/>
      <c r="T147" s="81"/>
      <c r="U147" s="79"/>
      <c r="V147" s="81">
        <v>260.0</v>
      </c>
      <c r="W147" s="81">
        <v>250.0</v>
      </c>
      <c r="X147" s="72"/>
      <c r="Y147" s="81">
        <v>250.0</v>
      </c>
      <c r="Z147" s="81">
        <v>240.0</v>
      </c>
      <c r="AA147" s="72"/>
      <c r="AB147" s="72" t="str">
        <f t="shared" si="1"/>
        <v>0</v>
      </c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</row>
    <row r="148" ht="15.75" customHeight="1">
      <c r="A148" s="72" t="str">
        <f>COUNTIFS(NIFTY!$B$7:$B$56,Summary!B148)</f>
        <v>1</v>
      </c>
      <c r="B148" s="90" t="str">
        <f>HYPERLINK("C:\Users\Natik\Desktop\_\All Stock Work\Max Pain Analysis\Stocks\ZEEL - ZEE ENTERTAINMENT ENTERPRISES LIMITED.xlsx","ZEEL")</f>
        <v>ZEEL</v>
      </c>
      <c r="C148" s="91" t="s">
        <v>453</v>
      </c>
      <c r="D148" s="92">
        <v>261.5</v>
      </c>
      <c r="E148" s="93">
        <v>265.0</v>
      </c>
      <c r="F148" s="93">
        <v>271.35</v>
      </c>
      <c r="G148" s="93">
        <v>263.35</v>
      </c>
      <c r="H148" s="93" t="s">
        <v>524</v>
      </c>
      <c r="I148" s="94">
        <v>267.65</v>
      </c>
      <c r="J148" s="95" t="s">
        <v>610</v>
      </c>
      <c r="K148" s="79"/>
      <c r="L148" s="92">
        <v>268.9</v>
      </c>
      <c r="M148" s="93">
        <v>270.95</v>
      </c>
      <c r="N148" s="96">
        <v>271.0</v>
      </c>
      <c r="O148" s="79"/>
      <c r="P148" s="97">
        <v>280.0</v>
      </c>
      <c r="Q148" s="97">
        <v>253.7401243687597</v>
      </c>
      <c r="R148" s="97">
        <v>250.8407493111326</v>
      </c>
      <c r="S148" s="72"/>
      <c r="T148" s="81"/>
      <c r="U148" s="79"/>
      <c r="V148" s="97">
        <v>300.0</v>
      </c>
      <c r="W148" s="97">
        <v>320.0</v>
      </c>
      <c r="X148" s="72"/>
      <c r="Y148" s="97">
        <v>290.0</v>
      </c>
      <c r="Z148" s="97">
        <v>260.0</v>
      </c>
      <c r="AA148" s="72"/>
      <c r="AB148" s="72" t="str">
        <f t="shared" si="1"/>
        <v>0</v>
      </c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</row>
    <row r="149" ht="15.75" customHeight="1">
      <c r="A149" s="72" t="str">
        <f>COUNTIFS(NIFTY!$B$7:$B$56,Summary!B149)</f>
        <v>0</v>
      </c>
      <c r="B149" s="72"/>
      <c r="C149" s="72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</row>
    <row r="150" ht="15.75" customHeight="1">
      <c r="A150" s="72" t="str">
        <f>COUNTIFS(NIFTY!$B$7:$B$56,Summary!B150)</f>
        <v>0</v>
      </c>
      <c r="B150" s="72"/>
      <c r="C150" s="72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</row>
    <row r="151" ht="15.75" customHeight="1">
      <c r="A151" s="72" t="str">
        <f>COUNTIFS(NIFTY!$B$7:$B$56,Summary!B151)</f>
        <v>0</v>
      </c>
      <c r="B151" s="98" t="s">
        <v>454</v>
      </c>
      <c r="C151" s="74" t="s">
        <v>611</v>
      </c>
      <c r="D151" s="75">
        <v>297.3</v>
      </c>
      <c r="E151" s="76">
        <v>262.0</v>
      </c>
      <c r="F151" s="76">
        <v>330.0</v>
      </c>
      <c r="G151" s="76">
        <v>248.95</v>
      </c>
      <c r="H151" s="76">
        <v>310.2</v>
      </c>
      <c r="I151" s="77">
        <v>309.35</v>
      </c>
      <c r="J151" s="80" t="s">
        <v>612</v>
      </c>
      <c r="K151" s="79"/>
      <c r="L151" s="75"/>
      <c r="M151" s="76"/>
      <c r="N151" s="80"/>
      <c r="O151" s="79"/>
      <c r="P151" s="81"/>
      <c r="Q151" s="81"/>
      <c r="R151" s="81"/>
      <c r="S151" s="72"/>
      <c r="T151" s="81"/>
      <c r="U151" s="79"/>
      <c r="V151" s="81"/>
      <c r="W151" s="81"/>
      <c r="X151" s="72"/>
      <c r="Y151" s="81"/>
      <c r="Z151" s="81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</row>
    <row r="152" ht="15.75" customHeight="1">
      <c r="A152" s="72" t="str">
        <f>COUNTIFS(NIFTY!$B$7:$B$56,Summary!B152)</f>
        <v>0</v>
      </c>
      <c r="B152" s="98" t="s">
        <v>456</v>
      </c>
      <c r="C152" s="74" t="s">
        <v>613</v>
      </c>
      <c r="D152" s="75" t="s">
        <v>6</v>
      </c>
      <c r="E152" s="76" t="s">
        <v>6</v>
      </c>
      <c r="F152" s="76" t="s">
        <v>6</v>
      </c>
      <c r="G152" s="76" t="s">
        <v>6</v>
      </c>
      <c r="H152" s="76" t="s">
        <v>6</v>
      </c>
      <c r="I152" s="77" t="s">
        <v>6</v>
      </c>
      <c r="J152" s="80"/>
      <c r="K152" s="79"/>
      <c r="L152" s="75"/>
      <c r="M152" s="76"/>
      <c r="N152" s="80"/>
      <c r="O152" s="79"/>
      <c r="P152" s="81"/>
      <c r="Q152" s="81"/>
      <c r="R152" s="81"/>
      <c r="S152" s="72"/>
      <c r="T152" s="81"/>
      <c r="U152" s="79"/>
      <c r="V152" s="81"/>
      <c r="W152" s="81"/>
      <c r="X152" s="72"/>
      <c r="Y152" s="81"/>
      <c r="Z152" s="81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</row>
    <row r="153" ht="15.75" customHeight="1">
      <c r="A153" s="72" t="str">
        <f>COUNTIFS(NIFTY!$B$7:$B$56,Summary!B153)</f>
        <v>0</v>
      </c>
      <c r="B153" s="98" t="s">
        <v>458</v>
      </c>
      <c r="C153" s="74" t="s">
        <v>614</v>
      </c>
      <c r="D153" s="75">
        <v>1536.7</v>
      </c>
      <c r="E153" s="76">
        <v>1533.0</v>
      </c>
      <c r="F153" s="76">
        <v>1545.0</v>
      </c>
      <c r="G153" s="76">
        <v>1504.75</v>
      </c>
      <c r="H153" s="76" t="s">
        <v>524</v>
      </c>
      <c r="I153" s="77">
        <v>1524.4</v>
      </c>
      <c r="J153" s="80" t="s">
        <v>615</v>
      </c>
      <c r="K153" s="79"/>
      <c r="L153" s="75">
        <v>1530.75</v>
      </c>
      <c r="M153" s="76">
        <v>1527.2</v>
      </c>
      <c r="N153" s="80"/>
      <c r="O153" s="79"/>
      <c r="P153" s="81"/>
      <c r="Q153" s="81"/>
      <c r="R153" s="81"/>
      <c r="S153" s="72"/>
      <c r="T153" s="81"/>
      <c r="U153" s="79"/>
      <c r="V153" s="81"/>
      <c r="W153" s="81"/>
      <c r="X153" s="72"/>
      <c r="Y153" s="81"/>
      <c r="Z153" s="81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</row>
    <row r="154" ht="15.75" customHeight="1">
      <c r="A154" s="72" t="str">
        <f>COUNTIFS(NIFTY!$B$7:$B$56,Summary!B154)</f>
        <v>0</v>
      </c>
      <c r="B154" s="98" t="s">
        <v>460</v>
      </c>
      <c r="C154" s="74" t="s">
        <v>616</v>
      </c>
      <c r="D154" s="75">
        <v>827.85</v>
      </c>
      <c r="E154" s="76">
        <v>829.8</v>
      </c>
      <c r="F154" s="76">
        <v>835.8</v>
      </c>
      <c r="G154" s="76">
        <v>823.3</v>
      </c>
      <c r="H154" s="76" t="s">
        <v>524</v>
      </c>
      <c r="I154" s="77">
        <v>829.4</v>
      </c>
      <c r="J154" s="80" t="s">
        <v>617</v>
      </c>
      <c r="K154" s="79"/>
      <c r="L154" s="75"/>
      <c r="M154" s="76"/>
      <c r="N154" s="80"/>
      <c r="O154" s="79"/>
      <c r="P154" s="81"/>
      <c r="Q154" s="81"/>
      <c r="R154" s="81"/>
      <c r="S154" s="72"/>
      <c r="T154" s="81"/>
      <c r="U154" s="79"/>
      <c r="V154" s="81"/>
      <c r="W154" s="81"/>
      <c r="X154" s="72"/>
      <c r="Y154" s="81"/>
      <c r="Z154" s="81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</row>
    <row r="155" ht="15.75" customHeight="1">
      <c r="A155" s="72" t="str">
        <f>COUNTIFS(NIFTY!$B$7:$B$56,Summary!B155)</f>
        <v>0</v>
      </c>
      <c r="B155" s="98" t="s">
        <v>462</v>
      </c>
      <c r="C155" s="74" t="s">
        <v>618</v>
      </c>
      <c r="D155" s="75">
        <v>52.95</v>
      </c>
      <c r="E155" s="76">
        <v>53.6</v>
      </c>
      <c r="F155" s="76">
        <v>54.3</v>
      </c>
      <c r="G155" s="76">
        <v>52.25</v>
      </c>
      <c r="H155" s="76" t="s">
        <v>524</v>
      </c>
      <c r="I155" s="77">
        <v>52.75</v>
      </c>
      <c r="J155" s="80" t="s">
        <v>619</v>
      </c>
      <c r="K155" s="79"/>
      <c r="L155" s="75"/>
      <c r="M155" s="76"/>
      <c r="N155" s="80"/>
      <c r="O155" s="79"/>
      <c r="P155" s="81"/>
      <c r="Q155" s="81"/>
      <c r="R155" s="81"/>
      <c r="S155" s="72"/>
      <c r="T155" s="81"/>
      <c r="U155" s="79"/>
      <c r="V155" s="81"/>
      <c r="W155" s="81"/>
      <c r="X155" s="72"/>
      <c r="Y155" s="81"/>
      <c r="Z155" s="81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</row>
  </sheetData>
  <autoFilter ref="$B$6:$AB$6"/>
  <mergeCells count="4">
    <mergeCell ref="D5:J5"/>
    <mergeCell ref="L5:N5"/>
    <mergeCell ref="V5:W5"/>
    <mergeCell ref="Y5:Z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7.0"/>
    <col customWidth="1" min="3" max="3" width="59.14"/>
    <col customWidth="1" min="4" max="4" width="14.43"/>
    <col customWidth="1" min="5" max="6" width="10.14"/>
    <col customWidth="1" min="7" max="7" width="10.43"/>
    <col customWidth="1" min="8" max="9" width="10.14"/>
    <col customWidth="1" min="10" max="10" width="12.0"/>
    <col customWidth="1" min="11" max="11" width="0.86"/>
    <col customWidth="1" min="12" max="12" width="14.86"/>
    <col customWidth="1" min="13" max="13" width="16.29"/>
    <col customWidth="1" min="14" max="14" width="15.43"/>
    <col customWidth="1" min="15" max="15" width="0.86"/>
    <col customWidth="1" min="16" max="16" width="13.71"/>
    <col customWidth="1" min="17" max="18" width="10.43"/>
    <col customWidth="1" hidden="1" min="19" max="20" width="10.43"/>
    <col customWidth="1" min="21" max="21" width="0.86"/>
    <col customWidth="1" min="22" max="23" width="10.86"/>
    <col customWidth="1" min="24" max="24" width="0.86"/>
    <col customWidth="1" min="25" max="25" width="10.86"/>
    <col customWidth="1" min="26" max="26" width="10.57"/>
  </cols>
  <sheetData>
    <row r="5">
      <c r="B5" s="60"/>
      <c r="C5" s="60"/>
      <c r="D5" s="61" t="s">
        <v>466</v>
      </c>
      <c r="E5" s="62"/>
      <c r="F5" s="62"/>
      <c r="G5" s="62"/>
      <c r="H5" s="62"/>
      <c r="I5" s="62"/>
      <c r="J5" s="63"/>
      <c r="K5" s="64"/>
      <c r="L5" s="65" t="s">
        <v>467</v>
      </c>
      <c r="M5" s="4"/>
      <c r="N5" s="5"/>
      <c r="O5" s="64"/>
      <c r="P5" s="66" t="s">
        <v>468</v>
      </c>
      <c r="Q5" s="66" t="s">
        <v>469</v>
      </c>
      <c r="R5" s="66" t="s">
        <v>470</v>
      </c>
      <c r="S5" s="64"/>
      <c r="T5" s="64"/>
      <c r="U5" s="60"/>
      <c r="V5" s="61" t="s">
        <v>471</v>
      </c>
      <c r="W5" s="63"/>
      <c r="X5" s="60"/>
      <c r="Y5" s="61" t="s">
        <v>472</v>
      </c>
      <c r="Z5" s="63"/>
    </row>
    <row r="6">
      <c r="B6" s="67" t="s">
        <v>1</v>
      </c>
      <c r="C6" s="68" t="s">
        <v>2</v>
      </c>
      <c r="D6" s="69" t="s">
        <v>620</v>
      </c>
      <c r="E6" s="70" t="s">
        <v>621</v>
      </c>
      <c r="F6" s="70" t="s">
        <v>475</v>
      </c>
      <c r="G6" s="70" t="s">
        <v>476</v>
      </c>
      <c r="H6" s="70" t="s">
        <v>477</v>
      </c>
      <c r="I6" s="70" t="s">
        <v>478</v>
      </c>
      <c r="J6" s="71" t="s">
        <v>622</v>
      </c>
      <c r="K6" s="64" t="s">
        <v>11</v>
      </c>
      <c r="L6" s="69" t="s">
        <v>11</v>
      </c>
      <c r="M6" s="70" t="s">
        <v>12</v>
      </c>
      <c r="N6" s="71" t="s">
        <v>12</v>
      </c>
      <c r="O6" s="64"/>
      <c r="P6" s="66" t="s">
        <v>480</v>
      </c>
      <c r="Q6" s="66" t="s">
        <v>481</v>
      </c>
      <c r="R6" s="66" t="s">
        <v>481</v>
      </c>
      <c r="S6" s="64"/>
      <c r="T6" s="64"/>
      <c r="U6" s="60"/>
      <c r="V6" s="66" t="s">
        <v>483</v>
      </c>
      <c r="W6" s="66" t="s">
        <v>484</v>
      </c>
      <c r="X6" s="60"/>
      <c r="Y6" s="66" t="s">
        <v>483</v>
      </c>
      <c r="Z6" s="66" t="s">
        <v>484</v>
      </c>
    </row>
    <row r="7">
      <c r="A7" s="99"/>
      <c r="B7" s="73" t="str">
        <f>HYPERLINK("C:\Users\Natik\Desktop\_\All Stock Work\Max Pain Analysis\Stocks\SBIN - STATE BANK OF INDIA.xlsx","SBIN")</f>
        <v>SBIN</v>
      </c>
      <c r="C7" s="74" t="s">
        <v>10</v>
      </c>
      <c r="D7" s="75">
        <v>183.0</v>
      </c>
      <c r="E7" s="76">
        <v>188.0</v>
      </c>
      <c r="F7" s="76">
        <v>190.0</v>
      </c>
      <c r="G7" s="76">
        <v>183.6</v>
      </c>
      <c r="H7" s="76">
        <v>187.75</v>
      </c>
      <c r="I7" s="77">
        <v>187.55</v>
      </c>
      <c r="J7" s="78" t="s">
        <v>485</v>
      </c>
      <c r="K7" s="79"/>
      <c r="L7" s="75">
        <v>187.55</v>
      </c>
      <c r="M7" s="76">
        <v>188.0</v>
      </c>
      <c r="N7" s="80">
        <v>188.85</v>
      </c>
      <c r="O7" s="79"/>
      <c r="P7" s="81">
        <v>200.0</v>
      </c>
      <c r="Q7" s="81">
        <v>191.89743307838924</v>
      </c>
      <c r="R7" s="81">
        <v>185.7682783940745</v>
      </c>
      <c r="S7" s="79"/>
      <c r="T7" s="79"/>
      <c r="U7" s="72"/>
      <c r="V7" s="81">
        <v>300.0</v>
      </c>
      <c r="W7" s="81">
        <v>200.0</v>
      </c>
      <c r="X7" s="72" t="str">
        <f t="array" ref="X7">INDEX(Summary!X:X,MATCH(NIFTY!$B7,Summary!$B:$B,0))</f>
        <v/>
      </c>
      <c r="Y7" s="81">
        <v>180.0</v>
      </c>
      <c r="Z7" s="81">
        <v>170.0</v>
      </c>
    </row>
    <row r="8">
      <c r="B8" s="73" t="str">
        <f>HYPERLINK("C:\Users\Natik\Desktop\_\All Stock Work\Max Pain Analysis\Stocks\HDFCBANK - HDFC BANK LIMITED.xlsx","HDFCBANK")</f>
        <v>HDFCBANK</v>
      </c>
      <c r="C8" s="74" t="s">
        <v>24</v>
      </c>
      <c r="D8" s="75">
        <v>888.9</v>
      </c>
      <c r="E8" s="76">
        <v>913.0</v>
      </c>
      <c r="F8" s="76">
        <v>930.9</v>
      </c>
      <c r="G8" s="76">
        <v>890.0</v>
      </c>
      <c r="H8" s="76">
        <v>925.05</v>
      </c>
      <c r="I8" s="77">
        <v>922.1</v>
      </c>
      <c r="J8" s="78" t="s">
        <v>488</v>
      </c>
      <c r="K8" s="79"/>
      <c r="L8" s="75">
        <v>912.25</v>
      </c>
      <c r="M8" s="76">
        <v>910.35</v>
      </c>
      <c r="N8" s="80">
        <v>908.3</v>
      </c>
      <c r="O8" s="79"/>
      <c r="P8" s="81">
        <v>900.0</v>
      </c>
      <c r="Q8" s="81">
        <v>860.8136909627636</v>
      </c>
      <c r="R8" s="81">
        <v>841.8570958888138</v>
      </c>
      <c r="S8" s="79"/>
      <c r="T8" s="79"/>
      <c r="U8" s="72"/>
      <c r="V8" s="81">
        <v>1000.0</v>
      </c>
      <c r="W8" s="81">
        <v>1200.0</v>
      </c>
      <c r="X8" s="72" t="str">
        <f t="array" ref="X8">INDEX(Summary!X:X,MATCH(NIFTY!$B8,Summary!$B:$B,0))</f>
        <v/>
      </c>
      <c r="Y8" s="81">
        <v>800.0</v>
      </c>
      <c r="Z8" s="81">
        <v>700.0</v>
      </c>
    </row>
    <row r="9">
      <c r="B9" s="73" t="str">
        <f>HYPERLINK("C:\Users\Natik\Desktop\_\All Stock Work\Max Pain Analysis\Stocks\ICICIBANK - ICICI BANK LIMITED.xlsx","ICICIBANK")</f>
        <v>ICICIBANK</v>
      </c>
      <c r="C9" s="74" t="s">
        <v>27</v>
      </c>
      <c r="D9" s="75">
        <v>318.95</v>
      </c>
      <c r="E9" s="76">
        <v>332.4</v>
      </c>
      <c r="F9" s="76">
        <v>345.0</v>
      </c>
      <c r="G9" s="76">
        <v>322.65</v>
      </c>
      <c r="H9" s="76">
        <v>342.7</v>
      </c>
      <c r="I9" s="77">
        <v>342.0</v>
      </c>
      <c r="J9" s="78" t="s">
        <v>623</v>
      </c>
      <c r="K9" s="79"/>
      <c r="L9" s="75">
        <v>341.1</v>
      </c>
      <c r="M9" s="76">
        <v>340.45</v>
      </c>
      <c r="N9" s="80">
        <v>342.5</v>
      </c>
      <c r="O9" s="79"/>
      <c r="P9" s="81">
        <v>330.0</v>
      </c>
      <c r="Q9" s="81">
        <v>324.3960925057579</v>
      </c>
      <c r="R9" s="81">
        <v>317.07042278530463</v>
      </c>
      <c r="S9" s="79"/>
      <c r="T9" s="79"/>
      <c r="U9" s="72"/>
      <c r="V9" s="81">
        <v>400.0</v>
      </c>
      <c r="W9" s="81">
        <v>350.0</v>
      </c>
      <c r="X9" s="72" t="str">
        <f t="array" ref="X9">INDEX(Summary!X:X,MATCH(NIFTY!$B9,Summary!$B:$B,0))</f>
        <v/>
      </c>
      <c r="Y9" s="81">
        <v>300.0</v>
      </c>
      <c r="Z9" s="81">
        <v>320.0</v>
      </c>
    </row>
    <row r="10">
      <c r="B10" s="73" t="str">
        <f>HYPERLINK("C:\Users\Natik\Desktop\_\All Stock Work\Max Pain Analysis\Stocks\AXISBANK - AXIS BANK LIMITED.xlsx","AXISBANK")</f>
        <v>AXISBANK</v>
      </c>
      <c r="C10" s="74" t="s">
        <v>31</v>
      </c>
      <c r="D10" s="75">
        <v>391.35</v>
      </c>
      <c r="E10" s="76">
        <v>405.0</v>
      </c>
      <c r="F10" s="76">
        <v>423.0</v>
      </c>
      <c r="G10" s="76">
        <v>398.65</v>
      </c>
      <c r="H10" s="76">
        <v>420.15</v>
      </c>
      <c r="I10" s="77">
        <v>420.0</v>
      </c>
      <c r="J10" s="78" t="s">
        <v>624</v>
      </c>
      <c r="K10" s="79"/>
      <c r="L10" s="75">
        <v>421.0</v>
      </c>
      <c r="M10" s="76">
        <v>422.5</v>
      </c>
      <c r="N10" s="80">
        <v>410.0</v>
      </c>
      <c r="O10" s="79"/>
      <c r="P10" s="81">
        <v>400.0</v>
      </c>
      <c r="Q10" s="81">
        <v>384.9931404078182</v>
      </c>
      <c r="R10" s="81">
        <v>378.3865003696898</v>
      </c>
      <c r="S10" s="79"/>
      <c r="T10" s="79"/>
      <c r="U10" s="79"/>
      <c r="V10" s="81">
        <v>500.0</v>
      </c>
      <c r="W10" s="81">
        <v>400.0</v>
      </c>
      <c r="X10" s="72" t="str">
        <f t="array" ref="X10">INDEX(Summary!X:X,MATCH(NIFTY!$B10,Summary!$B:$B,0))</f>
        <v/>
      </c>
      <c r="Y10" s="81">
        <v>300.0</v>
      </c>
      <c r="Z10" s="81">
        <v>380.0</v>
      </c>
    </row>
    <row r="11">
      <c r="B11" s="73" t="str">
        <f>HYPERLINK("C:\Users\Natik\Desktop\_\All Stock Work\Max Pain Analysis\Stocks\KOTAKBANK - KOTAK MAHINDRA BANK LIMITED.xlsx","KOTAKBANK")</f>
        <v>KOTAKBANK</v>
      </c>
      <c r="C11" s="74" t="s">
        <v>34</v>
      </c>
      <c r="D11" s="75">
        <v>1187.65</v>
      </c>
      <c r="E11" s="76">
        <v>1215.0</v>
      </c>
      <c r="F11" s="76">
        <v>1281.2</v>
      </c>
      <c r="G11" s="76">
        <v>1190.1</v>
      </c>
      <c r="H11" s="76">
        <v>1272.9</v>
      </c>
      <c r="I11" s="77">
        <v>1266.0</v>
      </c>
      <c r="J11" s="78" t="s">
        <v>625</v>
      </c>
      <c r="K11" s="79"/>
      <c r="L11" s="75">
        <v>1252.0</v>
      </c>
      <c r="M11" s="76">
        <v>1247.35</v>
      </c>
      <c r="N11" s="80">
        <v>1250.0</v>
      </c>
      <c r="O11" s="79"/>
      <c r="P11" s="81">
        <v>1200.0</v>
      </c>
      <c r="Q11" s="81">
        <v>1213.2305445455213</v>
      </c>
      <c r="R11" s="81">
        <v>1177.4739148562508</v>
      </c>
      <c r="S11" s="79"/>
      <c r="T11" s="79"/>
      <c r="U11" s="72"/>
      <c r="V11" s="81">
        <v>1200.0</v>
      </c>
      <c r="W11" s="81">
        <v>1700.0</v>
      </c>
      <c r="X11" s="72" t="str">
        <f t="array" ref="X11">INDEX(Summary!X:X,MATCH(NIFTY!$B11,Summary!$B:$B,0))</f>
        <v/>
      </c>
      <c r="Y11" s="81">
        <v>1100.0</v>
      </c>
      <c r="Z11" s="81">
        <v>1000.0</v>
      </c>
    </row>
    <row r="12">
      <c r="B12" s="73" t="str">
        <f>HYPERLINK("C:\Users\Natik\Desktop\_\All Stock Work\Max Pain Analysis\Stocks\INDUSINDBK - INDUSIND BANK LIMITED.xlsx","INDUSINDBK")</f>
        <v>INDUSINDBK</v>
      </c>
      <c r="C12" s="74" t="s">
        <v>37</v>
      </c>
      <c r="D12" s="75">
        <v>399.15</v>
      </c>
      <c r="E12" s="76">
        <v>425.0</v>
      </c>
      <c r="F12" s="76">
        <v>425.0</v>
      </c>
      <c r="G12" s="76">
        <v>384.0</v>
      </c>
      <c r="H12" s="76">
        <v>395.4</v>
      </c>
      <c r="I12" s="77">
        <v>394.5</v>
      </c>
      <c r="J12" s="78" t="s">
        <v>626</v>
      </c>
      <c r="K12" s="79"/>
      <c r="L12" s="75">
        <v>395.4</v>
      </c>
      <c r="M12" s="76">
        <v>396.4</v>
      </c>
      <c r="N12" s="80">
        <v>398.0</v>
      </c>
      <c r="O12" s="79"/>
      <c r="P12" s="81">
        <v>400.0</v>
      </c>
      <c r="Q12" s="81">
        <v>347.330831961542</v>
      </c>
      <c r="R12" s="81">
        <v>342.8576173347957</v>
      </c>
      <c r="S12" s="79"/>
      <c r="T12" s="79"/>
      <c r="U12" s="72"/>
      <c r="V12" s="81">
        <v>500.0</v>
      </c>
      <c r="W12" s="81">
        <v>400.0</v>
      </c>
      <c r="X12" s="72" t="str">
        <f t="array" ref="X12">INDEX(Summary!X:X,MATCH(NIFTY!$B12,Summary!$B:$B,0))</f>
        <v/>
      </c>
      <c r="Y12" s="81">
        <v>300.0</v>
      </c>
      <c r="Z12" s="81">
        <v>400.0</v>
      </c>
    </row>
    <row r="13">
      <c r="B13" s="73" t="str">
        <f>HYPERLINK("C:\Users\Natik\Desktop\_\All Stock Work\Max Pain Analysis\Stocks\ADANIPORTS - ADANI PORTS AND SPECIAL ECONOMIC ZONE LIMITED.xlsx","ADANIPORTS")</f>
        <v>ADANIPORTS</v>
      </c>
      <c r="C13" s="74" t="s">
        <v>62</v>
      </c>
      <c r="D13" s="75">
        <v>250.85</v>
      </c>
      <c r="E13" s="76">
        <v>254.0</v>
      </c>
      <c r="F13" s="76">
        <v>254.6</v>
      </c>
      <c r="G13" s="76">
        <v>247.45</v>
      </c>
      <c r="H13" s="76">
        <v>251.9</v>
      </c>
      <c r="I13" s="77">
        <v>251.2</v>
      </c>
      <c r="J13" s="78" t="s">
        <v>627</v>
      </c>
      <c r="K13" s="79"/>
      <c r="L13" s="75">
        <v>252.9</v>
      </c>
      <c r="M13" s="76">
        <v>253.5</v>
      </c>
      <c r="N13" s="80" t="s">
        <v>524</v>
      </c>
      <c r="O13" s="79"/>
      <c r="P13" s="81">
        <v>250.0</v>
      </c>
      <c r="Q13" s="81">
        <v>241.7249621236298</v>
      </c>
      <c r="R13" s="81">
        <v>239.85241814248525</v>
      </c>
      <c r="S13" s="79"/>
      <c r="T13" s="79"/>
      <c r="U13" s="72"/>
      <c r="V13" s="81">
        <v>260.0</v>
      </c>
      <c r="W13" s="81">
        <v>270.0</v>
      </c>
      <c r="X13" s="72" t="str">
        <f t="array" ref="X13">INDEX(Summary!X:X,MATCH(NIFTY!$B13,Summary!$B:$B,0))</f>
        <v/>
      </c>
      <c r="Y13" s="81">
        <v>240.0</v>
      </c>
      <c r="Z13" s="81">
        <v>230.0</v>
      </c>
    </row>
    <row r="14">
      <c r="B14" s="73" t="str">
        <f>HYPERLINK("C:\Users\Natik\Desktop\_\All Stock Work\Max Pain Analysis\Stocks\ASIANPAINT - ASIAN PAINTS LIMITED.xlsx","ASIANPAINT")</f>
        <v>ASIANPAINT</v>
      </c>
      <c r="C14" s="74" t="s">
        <v>84</v>
      </c>
      <c r="D14" s="75">
        <v>1608.95</v>
      </c>
      <c r="E14" s="76">
        <v>1640.0</v>
      </c>
      <c r="F14" s="76">
        <v>1678.9</v>
      </c>
      <c r="G14" s="76">
        <v>1618.95</v>
      </c>
      <c r="H14" s="76">
        <v>1651.35</v>
      </c>
      <c r="I14" s="77">
        <v>1644.05</v>
      </c>
      <c r="J14" s="78" t="s">
        <v>628</v>
      </c>
      <c r="K14" s="79"/>
      <c r="L14" s="75">
        <v>1649.95</v>
      </c>
      <c r="M14" s="76">
        <v>1656.0</v>
      </c>
      <c r="N14" s="80" t="s">
        <v>524</v>
      </c>
      <c r="O14" s="79"/>
      <c r="P14" s="81">
        <v>1600.0</v>
      </c>
      <c r="Q14" s="81">
        <v>1621.208267295476</v>
      </c>
      <c r="R14" s="81">
        <v>1581.7893916345029</v>
      </c>
      <c r="S14" s="79"/>
      <c r="T14" s="79"/>
      <c r="U14" s="72"/>
      <c r="V14" s="81">
        <v>1900.0</v>
      </c>
      <c r="W14" s="81">
        <v>1800.0</v>
      </c>
      <c r="X14" s="72" t="str">
        <f t="array" ref="X14">INDEX(Summary!X:X,MATCH(NIFTY!$B14,Summary!$B:$B,0))</f>
        <v/>
      </c>
      <c r="Y14" s="81">
        <v>1500.0</v>
      </c>
      <c r="Z14" s="81">
        <v>1600.0</v>
      </c>
    </row>
    <row r="15">
      <c r="B15" s="73" t="str">
        <f>HYPERLINK("C:\Users\Natik\Desktop\_\All Stock Work\Max Pain Analysis\Stocks\BAJAJ-AUTO - BAJAJ AUTO LIMITED.xlsx","BAJAJ-AUTO")</f>
        <v>BAJAJ-AUTO</v>
      </c>
      <c r="C15" s="74" t="s">
        <v>90</v>
      </c>
      <c r="D15" s="75">
        <v>2241.7</v>
      </c>
      <c r="E15" s="76">
        <v>2290.0</v>
      </c>
      <c r="F15" s="76">
        <v>2524.95</v>
      </c>
      <c r="G15" s="76">
        <v>2289.9</v>
      </c>
      <c r="H15" s="76">
        <v>2435.95</v>
      </c>
      <c r="I15" s="77">
        <v>2436.1</v>
      </c>
      <c r="J15" s="78" t="s">
        <v>629</v>
      </c>
      <c r="K15" s="79"/>
      <c r="L15" s="75">
        <v>2454.15</v>
      </c>
      <c r="M15" s="76">
        <v>2459.7</v>
      </c>
      <c r="N15" s="80" t="s">
        <v>524</v>
      </c>
      <c r="O15" s="79"/>
      <c r="P15" s="81">
        <v>2200.0</v>
      </c>
      <c r="Q15" s="81">
        <v>2275.3266284213933</v>
      </c>
      <c r="R15" s="81">
        <v>2231.5039772126</v>
      </c>
      <c r="S15" s="79"/>
      <c r="T15" s="79"/>
      <c r="U15" s="72"/>
      <c r="V15" s="81">
        <v>2600.0</v>
      </c>
      <c r="W15" s="81">
        <v>2200.0</v>
      </c>
      <c r="X15" s="72" t="str">
        <f t="array" ref="X15">INDEX(Summary!X:X,MATCH(NIFTY!$B15,Summary!$B:$B,0))</f>
        <v/>
      </c>
      <c r="Y15" s="81">
        <v>2000.0</v>
      </c>
      <c r="Z15" s="81">
        <v>2200.0</v>
      </c>
    </row>
    <row r="16">
      <c r="B16" s="73" t="str">
        <f>HYPERLINK("C:\Users\Natik\Desktop\_\All Stock Work\Max Pain Analysis\Stocks\BAJAJFINSV - BAJAJ FINSERV LIMITED.xlsx","BAJAJFINSV")</f>
        <v>BAJAJFINSV</v>
      </c>
      <c r="C16" s="74" t="s">
        <v>94</v>
      </c>
      <c r="D16" s="75">
        <v>4608.5</v>
      </c>
      <c r="E16" s="76">
        <v>4705.0</v>
      </c>
      <c r="F16" s="76">
        <v>4848.0</v>
      </c>
      <c r="G16" s="76">
        <v>4662.0</v>
      </c>
      <c r="H16" s="76">
        <v>4820.25</v>
      </c>
      <c r="I16" s="77">
        <v>4824.0</v>
      </c>
      <c r="J16" s="78" t="s">
        <v>630</v>
      </c>
      <c r="K16" s="79"/>
      <c r="L16" s="75">
        <v>4841.15</v>
      </c>
      <c r="M16" s="76">
        <v>4864.0</v>
      </c>
      <c r="N16" s="80">
        <v>4880.0</v>
      </c>
      <c r="O16" s="79"/>
      <c r="P16" s="81">
        <v>4800.0</v>
      </c>
      <c r="Q16" s="81">
        <v>5382.447864755041</v>
      </c>
      <c r="R16" s="81">
        <v>5280.227708623218</v>
      </c>
      <c r="S16" s="79"/>
      <c r="T16" s="79"/>
      <c r="U16" s="72"/>
      <c r="V16" s="81">
        <v>5000.0</v>
      </c>
      <c r="W16" s="81">
        <v>6000.0</v>
      </c>
      <c r="X16" s="72" t="str">
        <f t="array" ref="X16">INDEX(Summary!X:X,MATCH(NIFTY!$B16,Summary!$B:$B,0))</f>
        <v/>
      </c>
      <c r="Y16" s="81">
        <v>4500.0</v>
      </c>
      <c r="Z16" s="81">
        <v>4000.0</v>
      </c>
    </row>
    <row r="17">
      <c r="B17" s="73" t="str">
        <f>HYPERLINK("C:\Users\Natik\Desktop\_\All Stock Work\Max Pain Analysis\Stocks\BAJFINANCE - BAJAJ FINANCE LIMITED.xlsx","BAJFINANCE")</f>
        <v>BAJFINANCE</v>
      </c>
      <c r="C17" s="74" t="s">
        <v>97</v>
      </c>
      <c r="D17" s="75">
        <v>2332.9</v>
      </c>
      <c r="E17" s="76">
        <v>2391.0</v>
      </c>
      <c r="F17" s="76">
        <v>2566.15</v>
      </c>
      <c r="G17" s="76">
        <v>2367.1</v>
      </c>
      <c r="H17" s="76">
        <v>2551.85</v>
      </c>
      <c r="I17" s="77">
        <v>2542.0</v>
      </c>
      <c r="J17" s="78" t="s">
        <v>631</v>
      </c>
      <c r="K17" s="79"/>
      <c r="L17" s="75">
        <v>2531.0</v>
      </c>
      <c r="M17" s="76">
        <v>2530.1</v>
      </c>
      <c r="N17" s="80">
        <v>2552.8</v>
      </c>
      <c r="O17" s="79"/>
      <c r="P17" s="81">
        <v>2400.0</v>
      </c>
      <c r="Q17" s="81">
        <v>2593.6966389611844</v>
      </c>
      <c r="R17" s="81">
        <v>2558.472445518228</v>
      </c>
      <c r="S17" s="79"/>
      <c r="T17" s="79"/>
      <c r="U17" s="72"/>
      <c r="V17" s="81">
        <v>3000.0</v>
      </c>
      <c r="W17" s="81">
        <v>2500.0</v>
      </c>
      <c r="X17" s="72" t="str">
        <f t="array" ref="X17">INDEX(Summary!X:X,MATCH(NIFTY!$B17,Summary!$B:$B,0))</f>
        <v/>
      </c>
      <c r="Y17" s="81">
        <v>1800.0</v>
      </c>
      <c r="Z17" s="81">
        <v>2000.0</v>
      </c>
    </row>
    <row r="18">
      <c r="B18" s="73" t="str">
        <f>HYPERLINK("C:\Users\Natik\Desktop\_\All Stock Work\Max Pain Analysis\Stocks\BHARTIARTL - BHARTI AIRTEL LIMITED.xlsx","BHARTIARTL")</f>
        <v>BHARTIARTL</v>
      </c>
      <c r="C18" s="74" t="s">
        <v>118</v>
      </c>
      <c r="D18" s="75">
        <v>461.65</v>
      </c>
      <c r="E18" s="76">
        <v>471.0</v>
      </c>
      <c r="F18" s="76">
        <v>492.3</v>
      </c>
      <c r="G18" s="76">
        <v>471.0</v>
      </c>
      <c r="H18" s="76">
        <v>488.7</v>
      </c>
      <c r="I18" s="77">
        <v>490.4</v>
      </c>
      <c r="J18" s="78" t="s">
        <v>632</v>
      </c>
      <c r="K18" s="79"/>
      <c r="L18" s="75">
        <v>488.95</v>
      </c>
      <c r="M18" s="76">
        <v>491.15</v>
      </c>
      <c r="N18" s="80">
        <v>496.5</v>
      </c>
      <c r="O18" s="79"/>
      <c r="P18" s="81">
        <v>460.0</v>
      </c>
      <c r="Q18" s="81">
        <v>429.11690046760185</v>
      </c>
      <c r="R18" s="81">
        <v>423.83015837766686</v>
      </c>
      <c r="S18" s="79"/>
      <c r="T18" s="79"/>
      <c r="U18" s="72"/>
      <c r="V18" s="81">
        <v>500.0</v>
      </c>
      <c r="W18" s="81">
        <v>480.0</v>
      </c>
      <c r="X18" s="72" t="str">
        <f t="array" ref="X18">INDEX(Summary!X:X,MATCH(NIFTY!$B18,Summary!$B:$B,0))</f>
        <v/>
      </c>
      <c r="Y18" s="81">
        <v>400.0</v>
      </c>
      <c r="Z18" s="81">
        <v>440.0</v>
      </c>
    </row>
    <row r="19">
      <c r="B19" s="73" t="str">
        <f>HYPERLINK("C:\Users\Natik\Desktop\_\All Stock Work\Max Pain Analysis\Stocks\BPCL - BHARAT PETROLEUM CORPORATION LIMITED.xlsx","BPCL")</f>
        <v>BPCL</v>
      </c>
      <c r="C19" s="74" t="s">
        <v>130</v>
      </c>
      <c r="D19" s="75">
        <v>342.3</v>
      </c>
      <c r="E19" s="76">
        <v>345.15</v>
      </c>
      <c r="F19" s="76">
        <v>356.65</v>
      </c>
      <c r="G19" s="76">
        <v>339.25</v>
      </c>
      <c r="H19" s="76">
        <v>344.9</v>
      </c>
      <c r="I19" s="77">
        <v>347.0</v>
      </c>
      <c r="J19" s="78" t="s">
        <v>633</v>
      </c>
      <c r="K19" s="79"/>
      <c r="L19" s="75">
        <v>346.95</v>
      </c>
      <c r="M19" s="76">
        <v>346.4</v>
      </c>
      <c r="N19" s="80" t="s">
        <v>524</v>
      </c>
      <c r="O19" s="79"/>
      <c r="P19" s="81">
        <v>340.0</v>
      </c>
      <c r="Q19" s="81">
        <v>325.88536943472815</v>
      </c>
      <c r="R19" s="81">
        <v>313.5068338549312</v>
      </c>
      <c r="S19" s="79"/>
      <c r="T19" s="79"/>
      <c r="U19" s="72"/>
      <c r="V19" s="81">
        <v>360.0</v>
      </c>
      <c r="W19" s="81">
        <v>400.0</v>
      </c>
      <c r="X19" s="72" t="str">
        <f t="array" ref="X19">INDEX(Summary!X:X,MATCH(NIFTY!$B19,Summary!$B:$B,0))</f>
        <v/>
      </c>
      <c r="Y19" s="81">
        <v>300.0</v>
      </c>
      <c r="Z19" s="81">
        <v>280.0</v>
      </c>
    </row>
    <row r="20">
      <c r="B20" s="73" t="str">
        <f>HYPERLINK("C:\Users\Natik\Desktop\_\All Stock Work\Max Pain Analysis\Stocks\BRITANNIA - BRITANNIA INDUSTRIES LIMITED.xlsx","BRITANNIA")</f>
        <v>BRITANNIA</v>
      </c>
      <c r="C20" s="74" t="s">
        <v>133</v>
      </c>
      <c r="D20" s="75">
        <v>2775.55</v>
      </c>
      <c r="E20" s="76">
        <v>2850.0</v>
      </c>
      <c r="F20" s="76">
        <v>2850.0</v>
      </c>
      <c r="G20" s="76">
        <v>2732.9</v>
      </c>
      <c r="H20" s="76">
        <v>2801.7</v>
      </c>
      <c r="I20" s="77">
        <v>2803.9</v>
      </c>
      <c r="J20" s="78" t="s">
        <v>634</v>
      </c>
      <c r="K20" s="79"/>
      <c r="L20" s="75">
        <v>2813.95</v>
      </c>
      <c r="M20" s="76">
        <v>2814.1</v>
      </c>
      <c r="N20" s="80">
        <v>2850.0</v>
      </c>
      <c r="O20" s="79"/>
      <c r="P20" s="81">
        <v>2700.0</v>
      </c>
      <c r="Q20" s="81">
        <v>2566.992984909661</v>
      </c>
      <c r="R20" s="81">
        <v>2512.1410123396836</v>
      </c>
      <c r="S20" s="79"/>
      <c r="T20" s="79"/>
      <c r="U20" s="72"/>
      <c r="V20" s="81">
        <v>3000.0</v>
      </c>
      <c r="W20" s="81">
        <v>2800.0</v>
      </c>
      <c r="X20" s="72" t="str">
        <f t="array" ref="X20">INDEX(Summary!X:X,MATCH(NIFTY!$B20,Summary!$B:$B,0))</f>
        <v/>
      </c>
      <c r="Y20" s="81">
        <v>2600.0</v>
      </c>
      <c r="Z20" s="81">
        <v>2800.0</v>
      </c>
    </row>
    <row r="21" ht="15.75" customHeight="1">
      <c r="B21" s="73" t="str">
        <f>HYPERLINK("C:\Users\Natik\Desktop\_\All Stock Work\Max Pain Analysis\Stocks\CIPLA - CIPLA LIMITED.xlsx","CIPLA")</f>
        <v>CIPLA</v>
      </c>
      <c r="C21" s="74" t="s">
        <v>153</v>
      </c>
      <c r="D21" s="75">
        <v>512.75</v>
      </c>
      <c r="E21" s="76">
        <v>564.0</v>
      </c>
      <c r="F21" s="76">
        <v>610.0</v>
      </c>
      <c r="G21" s="76">
        <v>564.0</v>
      </c>
      <c r="H21" s="76">
        <v>579.6</v>
      </c>
      <c r="I21" s="77">
        <v>580.0</v>
      </c>
      <c r="J21" s="78" t="s">
        <v>635</v>
      </c>
      <c r="K21" s="79"/>
      <c r="L21" s="75">
        <v>582.45</v>
      </c>
      <c r="M21" s="76">
        <v>585.25</v>
      </c>
      <c r="N21" s="80">
        <v>580.0</v>
      </c>
      <c r="O21" s="79"/>
      <c r="P21" s="81">
        <v>480.0</v>
      </c>
      <c r="Q21" s="81">
        <v>474.426121087516</v>
      </c>
      <c r="R21" s="81">
        <v>447.2053191229844</v>
      </c>
      <c r="S21" s="79"/>
      <c r="T21" s="79"/>
      <c r="U21" s="72"/>
      <c r="V21" s="81">
        <v>600.0</v>
      </c>
      <c r="W21" s="81">
        <v>640.0</v>
      </c>
      <c r="X21" s="72" t="str">
        <f t="array" ref="X21">INDEX(Summary!X:X,MATCH(NIFTY!$B21,Summary!$B:$B,0))</f>
        <v/>
      </c>
      <c r="Y21" s="81">
        <v>500.0</v>
      </c>
      <c r="Z21" s="81">
        <v>400.0</v>
      </c>
    </row>
    <row r="22" ht="15.75" customHeight="1">
      <c r="B22" s="73" t="str">
        <f>HYPERLINK("C:\Users\Natik\Desktop\_\All Stock Work\Max Pain Analysis\Stocks\COALINDIA - COAL INDIA LIMITED.xlsx","COALINDIA")</f>
        <v>COALINDIA</v>
      </c>
      <c r="C22" s="74" t="s">
        <v>156</v>
      </c>
      <c r="D22" s="75">
        <v>137.35</v>
      </c>
      <c r="E22" s="76">
        <v>139.2</v>
      </c>
      <c r="F22" s="76">
        <v>141.45</v>
      </c>
      <c r="G22" s="76">
        <v>138.0</v>
      </c>
      <c r="H22" s="76">
        <v>140.8</v>
      </c>
      <c r="I22" s="77">
        <v>140.7</v>
      </c>
      <c r="J22" s="78" t="s">
        <v>636</v>
      </c>
      <c r="K22" s="79"/>
      <c r="L22" s="75">
        <v>140.85</v>
      </c>
      <c r="M22" s="76">
        <v>141.0</v>
      </c>
      <c r="N22" s="80" t="s">
        <v>524</v>
      </c>
      <c r="O22" s="79"/>
      <c r="P22" s="81">
        <v>138.0</v>
      </c>
      <c r="Q22" s="81">
        <v>130.77123869694648</v>
      </c>
      <c r="R22" s="81">
        <v>129.3184516237429</v>
      </c>
      <c r="S22" s="79"/>
      <c r="T22" s="79"/>
      <c r="U22" s="72"/>
      <c r="V22" s="81">
        <v>150.0</v>
      </c>
      <c r="W22" s="81">
        <v>140.0</v>
      </c>
      <c r="X22" s="72" t="str">
        <f t="array" ref="X22">INDEX(Summary!X:X,MATCH(NIFTY!$B22,Summary!$B:$B,0))</f>
        <v/>
      </c>
      <c r="Y22" s="81">
        <v>130.0</v>
      </c>
      <c r="Z22" s="81">
        <v>100.0</v>
      </c>
    </row>
    <row r="23" ht="15.75" customHeight="1">
      <c r="B23" s="73" t="str">
        <f>HYPERLINK("C:\Users\Natik\Desktop\_\All Stock Work\Max Pain Analysis\Stocks\DRREDDY - DR REDDY'S LABORATORIES LIMITED.xlsx","DRREDDY")</f>
        <v>DRREDDY</v>
      </c>
      <c r="C23" s="74" t="s">
        <v>180</v>
      </c>
      <c r="D23" s="75">
        <v>3683.0</v>
      </c>
      <c r="E23" s="76">
        <v>3740.0</v>
      </c>
      <c r="F23" s="76">
        <v>3810.0</v>
      </c>
      <c r="G23" s="76">
        <v>3593.2</v>
      </c>
      <c r="H23" s="76">
        <v>3621.55</v>
      </c>
      <c r="I23" s="77">
        <v>3603.5</v>
      </c>
      <c r="J23" s="78" t="s">
        <v>637</v>
      </c>
      <c r="K23" s="79"/>
      <c r="L23" s="75">
        <v>3623.0</v>
      </c>
      <c r="M23" s="76">
        <v>3629.3</v>
      </c>
      <c r="N23" s="80" t="s">
        <v>6</v>
      </c>
      <c r="O23" s="79"/>
      <c r="P23" s="81">
        <v>3300.0</v>
      </c>
      <c r="Q23" s="81">
        <v>3313.3866657759368</v>
      </c>
      <c r="R23" s="81">
        <v>3232.4933522771707</v>
      </c>
      <c r="S23" s="79"/>
      <c r="T23" s="79"/>
      <c r="U23" s="72"/>
      <c r="V23" s="81">
        <v>3800.0</v>
      </c>
      <c r="W23" s="81">
        <v>4000.0</v>
      </c>
      <c r="X23" s="72" t="str">
        <f t="array" ref="X23">INDEX(Summary!X:X,MATCH(NIFTY!$B23,Summary!$B:$B,0))</f>
        <v/>
      </c>
      <c r="Y23" s="81">
        <v>3000.0</v>
      </c>
      <c r="Z23" s="81">
        <v>3200.0</v>
      </c>
    </row>
    <row r="24" ht="15.75" customHeight="1">
      <c r="B24" s="73" t="str">
        <f>HYPERLINK("C:\Users\Natik\Desktop\_\All Stock Work\Max Pain Analysis\Stocks\EICHERMOT - EICHER MOTORS LIMITED.xlsx","EICHERMOT")</f>
        <v>EICHERMOT</v>
      </c>
      <c r="C24" s="74" t="s">
        <v>183</v>
      </c>
      <c r="D24" s="75">
        <v>13158.5</v>
      </c>
      <c r="E24" s="76">
        <v>13400.0</v>
      </c>
      <c r="F24" s="76">
        <v>14046.15</v>
      </c>
      <c r="G24" s="76">
        <v>13162.6</v>
      </c>
      <c r="H24" s="76">
        <v>13742.3</v>
      </c>
      <c r="I24" s="77">
        <v>13700.0</v>
      </c>
      <c r="J24" s="78" t="s">
        <v>638</v>
      </c>
      <c r="K24" s="79"/>
      <c r="L24" s="75">
        <v>13784.9</v>
      </c>
      <c r="M24" s="76">
        <v>13802.0</v>
      </c>
      <c r="N24" s="80" t="s">
        <v>524</v>
      </c>
      <c r="O24" s="79"/>
      <c r="P24" s="81">
        <v>14000.0</v>
      </c>
      <c r="Q24" s="81">
        <v>14654.53813698</v>
      </c>
      <c r="R24" s="81">
        <v>14279.159663865546</v>
      </c>
      <c r="S24" s="79"/>
      <c r="T24" s="79"/>
      <c r="U24" s="72"/>
      <c r="V24" s="81">
        <v>14000.0</v>
      </c>
      <c r="W24" s="81">
        <v>17000.0</v>
      </c>
      <c r="X24" s="72" t="str">
        <f t="array" ref="X24">INDEX(Summary!X:X,MATCH(NIFTY!$B24,Summary!$B:$B,0))</f>
        <v/>
      </c>
      <c r="Y24" s="81">
        <v>10000.0</v>
      </c>
      <c r="Z24" s="81">
        <v>12000.0</v>
      </c>
    </row>
    <row r="25" ht="15.75" customHeight="1">
      <c r="B25" s="73" t="str">
        <f>HYPERLINK("C:\Users\Natik\Desktop\_\All Stock Work\Max Pain Analysis\Stocks\GAIL - GAIL (INDIA) LIMITED.xlsx","GAIL")</f>
        <v>GAIL</v>
      </c>
      <c r="C25" s="74" t="s">
        <v>195</v>
      </c>
      <c r="D25" s="75">
        <v>85.55</v>
      </c>
      <c r="E25" s="76">
        <v>88.0</v>
      </c>
      <c r="F25" s="76">
        <v>90.3</v>
      </c>
      <c r="G25" s="76">
        <v>86.9</v>
      </c>
      <c r="H25" s="76">
        <v>87.75</v>
      </c>
      <c r="I25" s="77">
        <v>87.9</v>
      </c>
      <c r="J25" s="78" t="s">
        <v>639</v>
      </c>
      <c r="K25" s="79"/>
      <c r="L25" s="75">
        <v>88.2</v>
      </c>
      <c r="M25" s="76">
        <v>88.55</v>
      </c>
      <c r="N25" s="80">
        <v>89.0</v>
      </c>
      <c r="O25" s="79"/>
      <c r="P25" s="81">
        <v>83.6</v>
      </c>
      <c r="Q25" s="81">
        <v>82.55829394572847</v>
      </c>
      <c r="R25" s="81">
        <v>81.93826604577521</v>
      </c>
      <c r="S25" s="79"/>
      <c r="T25" s="79"/>
      <c r="U25" s="72"/>
      <c r="V25" s="81">
        <v>100.0</v>
      </c>
      <c r="W25" s="81">
        <v>90.0</v>
      </c>
      <c r="X25" s="72" t="str">
        <f t="array" ref="X25">INDEX(Summary!X:X,MATCH(NIFTY!$B25,Summary!$B:$B,0))</f>
        <v/>
      </c>
      <c r="Y25" s="81">
        <v>70.0</v>
      </c>
      <c r="Z25" s="81">
        <v>75.0</v>
      </c>
    </row>
    <row r="26" ht="15.75" customHeight="1">
      <c r="B26" s="73" t="str">
        <f>HYPERLINK("C:\Users\Natik\Desktop\_\All Stock Work\Max Pain Analysis\Stocks\GRASIM - GRASIM INDUSTRIES LIMITED.xlsx","GRASIM")</f>
        <v>GRASIM</v>
      </c>
      <c r="C26" s="74" t="s">
        <v>207</v>
      </c>
      <c r="D26" s="75">
        <v>512.6</v>
      </c>
      <c r="E26" s="76">
        <v>529.0</v>
      </c>
      <c r="F26" s="76">
        <v>547.45</v>
      </c>
      <c r="G26" s="76">
        <v>513.0</v>
      </c>
      <c r="H26" s="76">
        <v>530.55</v>
      </c>
      <c r="I26" s="77">
        <v>529.0</v>
      </c>
      <c r="J26" s="78" t="s">
        <v>640</v>
      </c>
      <c r="K26" s="79"/>
      <c r="L26" s="75">
        <v>533.4</v>
      </c>
      <c r="M26" s="76">
        <v>531.75</v>
      </c>
      <c r="N26" s="80" t="s">
        <v>524</v>
      </c>
      <c r="O26" s="79"/>
      <c r="P26" s="81">
        <v>500.0</v>
      </c>
      <c r="Q26" s="81">
        <v>480.1879316994495</v>
      </c>
      <c r="R26" s="81">
        <v>473.1975076877008</v>
      </c>
      <c r="S26" s="79"/>
      <c r="T26" s="79"/>
      <c r="U26" s="72"/>
      <c r="V26" s="81">
        <v>560.0</v>
      </c>
      <c r="W26" s="81">
        <v>540.0</v>
      </c>
      <c r="X26" s="72" t="str">
        <f t="array" ref="X26">INDEX(Summary!X:X,MATCH(NIFTY!$B26,Summary!$B:$B,0))</f>
        <v/>
      </c>
      <c r="Y26" s="81">
        <v>400.0</v>
      </c>
      <c r="Z26" s="81">
        <v>440.0</v>
      </c>
    </row>
    <row r="27" ht="15.75" customHeight="1">
      <c r="B27" s="73" t="str">
        <f>HYPERLINK("C:\Users\Natik\Desktop\_\All Stock Work\Max Pain Analysis\Stocks\HCLTECH - HCL TECHNOLOGIES LIMITED.xlsx","HCLTECH")</f>
        <v>HCLTECH</v>
      </c>
      <c r="C27" s="74" t="s">
        <v>213</v>
      </c>
      <c r="D27" s="75">
        <v>463.1</v>
      </c>
      <c r="E27" s="76">
        <v>480.7</v>
      </c>
      <c r="F27" s="76">
        <v>481.0</v>
      </c>
      <c r="G27" s="76">
        <v>462.0</v>
      </c>
      <c r="H27" s="76">
        <v>469.05</v>
      </c>
      <c r="I27" s="77">
        <v>470.0</v>
      </c>
      <c r="J27" s="78" t="s">
        <v>641</v>
      </c>
      <c r="K27" s="79"/>
      <c r="L27" s="75">
        <v>469.2</v>
      </c>
      <c r="M27" s="76">
        <v>469.75</v>
      </c>
      <c r="N27" s="80">
        <v>467.7</v>
      </c>
      <c r="O27" s="79"/>
      <c r="P27" s="81">
        <v>450.0</v>
      </c>
      <c r="Q27" s="81">
        <v>480.0937934748463</v>
      </c>
      <c r="R27" s="81">
        <v>467.4340768575361</v>
      </c>
      <c r="S27" s="79"/>
      <c r="T27" s="79"/>
      <c r="U27" s="72"/>
      <c r="V27" s="81">
        <v>500.0</v>
      </c>
      <c r="W27" s="81">
        <v>520.0</v>
      </c>
      <c r="X27" s="72"/>
      <c r="Y27" s="81">
        <v>400.0</v>
      </c>
      <c r="Z27" s="81">
        <v>390.0</v>
      </c>
    </row>
    <row r="28" ht="15.75" customHeight="1">
      <c r="B28" s="73" t="str">
        <f>HYPERLINK("C:\Users\Natik\Desktop\_\All Stock Work\Max Pain Analysis\Stocks\HDFC - HOUSING DEVELOPMENT FINANCE CORPORATION LIMITED.xlsx","HDFC")</f>
        <v>HDFC</v>
      </c>
      <c r="C28" s="74" t="s">
        <v>216</v>
      </c>
      <c r="D28" s="75">
        <v>1558.8</v>
      </c>
      <c r="E28" s="76">
        <v>1587.7</v>
      </c>
      <c r="F28" s="76">
        <v>1714.65</v>
      </c>
      <c r="G28" s="76">
        <v>1587.5</v>
      </c>
      <c r="H28" s="76">
        <v>1703.1</v>
      </c>
      <c r="I28" s="77">
        <v>1702.0</v>
      </c>
      <c r="J28" s="78" t="s">
        <v>642</v>
      </c>
      <c r="K28" s="79"/>
      <c r="L28" s="75">
        <v>1695.0</v>
      </c>
      <c r="M28" s="76">
        <v>1705.75</v>
      </c>
      <c r="N28" s="80">
        <v>1710.0</v>
      </c>
      <c r="O28" s="79"/>
      <c r="P28" s="81">
        <v>1600.0</v>
      </c>
      <c r="Q28" s="81">
        <v>1637.025864377612</v>
      </c>
      <c r="R28" s="81">
        <v>1528.641939529472</v>
      </c>
      <c r="S28" s="79"/>
      <c r="T28" s="79"/>
      <c r="U28" s="72"/>
      <c r="V28" s="81">
        <v>1700.0</v>
      </c>
      <c r="W28" s="81">
        <v>1540.0</v>
      </c>
      <c r="X28" s="72" t="str">
        <f t="array" ref="X28">INDEX(Summary!X:X,MATCH(NIFTY!$B28,Summary!$B:$B,0))</f>
        <v/>
      </c>
      <c r="Y28" s="81">
        <v>1300.0</v>
      </c>
      <c r="Z28" s="81">
        <v>1500.0</v>
      </c>
    </row>
    <row r="29" ht="15.75" customHeight="1">
      <c r="B29" s="73" t="str">
        <f>HYPERLINK("C:\Users\Natik\Desktop\_\All Stock Work\Max Pain Analysis\Stocks\HEROMOTOCO - HERO MOTOCORP LIMITED.xlsx","HEROMOTOCO")</f>
        <v>HEROMOTOCO</v>
      </c>
      <c r="C29" s="74" t="s">
        <v>220</v>
      </c>
      <c r="D29" s="75">
        <v>1821.65</v>
      </c>
      <c r="E29" s="76">
        <v>1879.15</v>
      </c>
      <c r="F29" s="76">
        <v>2013.4</v>
      </c>
      <c r="G29" s="76">
        <v>1853.0</v>
      </c>
      <c r="H29" s="76">
        <v>1990.9</v>
      </c>
      <c r="I29" s="77">
        <v>1969.85</v>
      </c>
      <c r="J29" s="78" t="s">
        <v>643</v>
      </c>
      <c r="K29" s="79"/>
      <c r="L29" s="75">
        <v>1977.0</v>
      </c>
      <c r="M29" s="76">
        <v>1980.0</v>
      </c>
      <c r="N29" s="80">
        <v>1999.9</v>
      </c>
      <c r="O29" s="79"/>
      <c r="P29" s="81">
        <v>1800.0</v>
      </c>
      <c r="Q29" s="81">
        <v>1900.2305951874498</v>
      </c>
      <c r="R29" s="81">
        <v>1882.8713228431996</v>
      </c>
      <c r="S29" s="79"/>
      <c r="T29" s="79"/>
      <c r="U29" s="72"/>
      <c r="V29" s="81">
        <v>1800.0</v>
      </c>
      <c r="W29" s="81">
        <v>2000.0</v>
      </c>
      <c r="X29" s="72" t="str">
        <f t="array" ref="X29">INDEX(Summary!X:X,MATCH(NIFTY!$B29,Summary!$B:$B,0))</f>
        <v/>
      </c>
      <c r="Y29" s="81">
        <v>1500.0</v>
      </c>
      <c r="Z29" s="81">
        <v>1800.0</v>
      </c>
    </row>
    <row r="30" ht="15.75" customHeight="1">
      <c r="B30" s="73" t="str">
        <f>HYPERLINK("C:\Users\Natik\Desktop\_\All Stock Work\Max Pain Analysis\Stocks\HINDALCO - HINDALCO INDUSTRIES LIMITED.xlsx","HINDALCO")</f>
        <v>HINDALCO</v>
      </c>
      <c r="C30" s="74" t="s">
        <v>223</v>
      </c>
      <c r="D30" s="75">
        <v>100.85</v>
      </c>
      <c r="E30" s="76">
        <v>105.0</v>
      </c>
      <c r="F30" s="76">
        <v>109.0</v>
      </c>
      <c r="G30" s="76">
        <v>101.85</v>
      </c>
      <c r="H30" s="76">
        <v>107.55</v>
      </c>
      <c r="I30" s="77">
        <v>107.85</v>
      </c>
      <c r="J30" s="78" t="s">
        <v>644</v>
      </c>
      <c r="K30" s="79"/>
      <c r="L30" s="75">
        <v>108.15</v>
      </c>
      <c r="M30" s="76">
        <v>108.75</v>
      </c>
      <c r="N30" s="80">
        <v>109.2</v>
      </c>
      <c r="O30" s="79"/>
      <c r="P30" s="81">
        <v>100.0</v>
      </c>
      <c r="Q30" s="81">
        <v>107.01491790248404</v>
      </c>
      <c r="R30" s="81">
        <v>106.29812960513887</v>
      </c>
      <c r="S30" s="79"/>
      <c r="T30" s="79"/>
      <c r="U30" s="72"/>
      <c r="V30" s="81">
        <v>110.0</v>
      </c>
      <c r="W30" s="81">
        <v>120.0</v>
      </c>
      <c r="X30" s="72" t="str">
        <f t="array" ref="X30">INDEX(Summary!X:X,MATCH(NIFTY!$B30,Summary!$B:$B,0))</f>
        <v/>
      </c>
      <c r="Y30" s="81">
        <v>90.0</v>
      </c>
      <c r="Z30" s="81">
        <v>80.0</v>
      </c>
    </row>
    <row r="31" ht="15.75" customHeight="1">
      <c r="B31" s="73" t="str">
        <f>HYPERLINK("C:\Users\Natik\Desktop\_\All Stock Work\Max Pain Analysis\Stocks\HINDUNILVR - HINDUSTAN UNILEVER LIMITED.xlsx","HINDUNILVR")</f>
        <v>HINDUNILVR</v>
      </c>
      <c r="C31" s="74" t="s">
        <v>229</v>
      </c>
      <c r="D31" s="75">
        <v>2460.85</v>
      </c>
      <c r="E31" s="76">
        <v>2499.95</v>
      </c>
      <c r="F31" s="76">
        <v>2500.0</v>
      </c>
      <c r="G31" s="76">
        <v>2345.0</v>
      </c>
      <c r="H31" s="76">
        <v>2372.25</v>
      </c>
      <c r="I31" s="77">
        <v>2378.65</v>
      </c>
      <c r="J31" s="78" t="s">
        <v>645</v>
      </c>
      <c r="K31" s="79"/>
      <c r="L31" s="75">
        <v>2385.6</v>
      </c>
      <c r="M31" s="76">
        <v>2393.9</v>
      </c>
      <c r="N31" s="80">
        <v>2383.65</v>
      </c>
      <c r="O31" s="79"/>
      <c r="P31" s="81">
        <v>2260.0</v>
      </c>
      <c r="Q31" s="81">
        <v>2266.2311696388033</v>
      </c>
      <c r="R31" s="81">
        <v>2136.6462313678157</v>
      </c>
      <c r="S31" s="79"/>
      <c r="T31" s="79"/>
      <c r="U31" s="72"/>
      <c r="V31" s="81">
        <v>2500.0</v>
      </c>
      <c r="W31" s="81">
        <v>2200.0</v>
      </c>
      <c r="X31" s="72" t="str">
        <f t="array" ref="X31">INDEX(Summary!X:X,MATCH(NIFTY!$B31,Summary!$B:$B,0))</f>
        <v/>
      </c>
      <c r="Y31" s="81">
        <v>2000.0</v>
      </c>
      <c r="Z31" s="81">
        <v>2200.0</v>
      </c>
    </row>
    <row r="32" ht="15.75" customHeight="1">
      <c r="B32" s="73" t="str">
        <f>HYPERLINK("C:\Users\Natik\Desktop\_\All Stock Work\Max Pain Analysis\Stocks\INFRATEL - BHARTI INFRATEL LIMITED.xlsx","INFRATEL")</f>
        <v>INFRATEL</v>
      </c>
      <c r="C32" s="74" t="s">
        <v>248</v>
      </c>
      <c r="D32" s="75">
        <v>166.4</v>
      </c>
      <c r="E32" s="76">
        <v>171.0</v>
      </c>
      <c r="F32" s="76">
        <v>175.25</v>
      </c>
      <c r="G32" s="76">
        <v>169.0</v>
      </c>
      <c r="H32" s="76">
        <v>173.9</v>
      </c>
      <c r="I32" s="77">
        <v>173.8</v>
      </c>
      <c r="J32" s="78" t="s">
        <v>646</v>
      </c>
      <c r="K32" s="79"/>
      <c r="L32" s="75">
        <v>175.15</v>
      </c>
      <c r="M32" s="76">
        <v>171.25</v>
      </c>
      <c r="N32" s="80" t="s">
        <v>524</v>
      </c>
      <c r="O32" s="79"/>
      <c r="P32" s="81">
        <v>170.0</v>
      </c>
      <c r="Q32" s="81">
        <v>146.2730139355101</v>
      </c>
      <c r="R32" s="81">
        <v>145.40040444893833</v>
      </c>
      <c r="S32" s="79"/>
      <c r="T32" s="79"/>
      <c r="U32" s="72"/>
      <c r="V32" s="81">
        <v>200.0</v>
      </c>
      <c r="W32" s="81">
        <v>170.0</v>
      </c>
      <c r="X32" s="72" t="str">
        <f t="array" ref="X32">INDEX(Summary!X:X,MATCH(NIFTY!$B32,Summary!$B:$B,0))</f>
        <v/>
      </c>
      <c r="Y32" s="81">
        <v>150.0</v>
      </c>
      <c r="Z32" s="81">
        <v>140.0</v>
      </c>
    </row>
    <row r="33" ht="15.75" customHeight="1">
      <c r="B33" s="73" t="str">
        <f>HYPERLINK("C:\Users\Natik\Desktop\_\All Stock Work\Max Pain Analysis\Stocks\INFY - INFOSYS LIMITED.xlsx","INFY")</f>
        <v>INFY</v>
      </c>
      <c r="C33" s="74" t="s">
        <v>251</v>
      </c>
      <c r="D33" s="75">
        <v>631.6</v>
      </c>
      <c r="E33" s="76">
        <v>646.8</v>
      </c>
      <c r="F33" s="76">
        <v>652.8</v>
      </c>
      <c r="G33" s="76">
        <v>632.1</v>
      </c>
      <c r="H33" s="76">
        <v>636.25</v>
      </c>
      <c r="I33" s="77">
        <v>635.6</v>
      </c>
      <c r="J33" s="78" t="s">
        <v>647</v>
      </c>
      <c r="K33" s="79"/>
      <c r="L33" s="75">
        <v>636.8</v>
      </c>
      <c r="M33" s="76">
        <v>638.3</v>
      </c>
      <c r="N33" s="80">
        <v>635.0</v>
      </c>
      <c r="O33" s="79"/>
      <c r="P33" s="81">
        <v>640.0</v>
      </c>
      <c r="Q33" s="81">
        <v>615.8690271180426</v>
      </c>
      <c r="R33" s="81">
        <v>604.8871266025138</v>
      </c>
      <c r="S33" s="79"/>
      <c r="T33" s="79"/>
      <c r="U33" s="72"/>
      <c r="V33" s="81">
        <v>800.0</v>
      </c>
      <c r="W33" s="81">
        <v>700.0</v>
      </c>
      <c r="X33" s="72" t="str">
        <f t="array" ref="X33">INDEX(Summary!X:X,MATCH(NIFTY!$B33,Summary!$B:$B,0))</f>
        <v/>
      </c>
      <c r="Y33" s="81">
        <v>600.0</v>
      </c>
      <c r="Z33" s="81">
        <v>500.0</v>
      </c>
    </row>
    <row r="34" ht="15.75" customHeight="1">
      <c r="B34" s="73" t="str">
        <f>HYPERLINK("C:\Users\Natik\Desktop\_\All Stock Work\Max Pain Analysis\Stocks\IOC - INDIAN OIL CORPORATION LIMITED.xlsx","IOC")</f>
        <v>IOC</v>
      </c>
      <c r="C34" s="74" t="s">
        <v>255</v>
      </c>
      <c r="D34" s="75">
        <v>81.75</v>
      </c>
      <c r="E34" s="76">
        <v>82.7</v>
      </c>
      <c r="F34" s="76">
        <v>84.2</v>
      </c>
      <c r="G34" s="76">
        <v>81.85</v>
      </c>
      <c r="H34" s="76">
        <v>83.4</v>
      </c>
      <c r="I34" s="77">
        <v>83.4</v>
      </c>
      <c r="J34" s="78" t="s">
        <v>648</v>
      </c>
      <c r="K34" s="79"/>
      <c r="L34" s="75">
        <v>83.7</v>
      </c>
      <c r="M34" s="76">
        <v>83.6</v>
      </c>
      <c r="N34" s="80">
        <v>83.9</v>
      </c>
      <c r="O34" s="79"/>
      <c r="P34" s="81">
        <v>85.0</v>
      </c>
      <c r="Q34" s="81">
        <v>86.96464374934313</v>
      </c>
      <c r="R34" s="81">
        <v>81.12603040884511</v>
      </c>
      <c r="S34" s="79"/>
      <c r="T34" s="79"/>
      <c r="U34" s="72"/>
      <c r="V34" s="81">
        <v>100.0</v>
      </c>
      <c r="W34" s="81">
        <v>90.0</v>
      </c>
      <c r="X34" s="72" t="str">
        <f t="array" ref="X34">INDEX(Summary!X:X,MATCH(NIFTY!$B34,Summary!$B:$B,0))</f>
        <v/>
      </c>
      <c r="Y34" s="81">
        <v>70.0</v>
      </c>
      <c r="Z34" s="81">
        <v>80.0</v>
      </c>
    </row>
    <row r="35" ht="15.75" customHeight="1">
      <c r="B35" s="73" t="str">
        <f>HYPERLINK("C:\Users\Natik\Desktop\_\All Stock Work\Max Pain Analysis\Stocks\ITC - ITC LIMITED.xlsx","ITC")</f>
        <v>ITC</v>
      </c>
      <c r="C35" s="74" t="s">
        <v>258</v>
      </c>
      <c r="D35" s="75">
        <v>178.65</v>
      </c>
      <c r="E35" s="76">
        <v>184.0</v>
      </c>
      <c r="F35" s="76">
        <v>186.25</v>
      </c>
      <c r="G35" s="76">
        <v>180.0</v>
      </c>
      <c r="H35" s="76">
        <v>185.25</v>
      </c>
      <c r="I35" s="77">
        <v>184.85</v>
      </c>
      <c r="J35" s="78" t="s">
        <v>649</v>
      </c>
      <c r="K35" s="79"/>
      <c r="L35" s="75">
        <v>184.8</v>
      </c>
      <c r="M35" s="76">
        <v>184.0</v>
      </c>
      <c r="N35" s="80">
        <v>182.15</v>
      </c>
      <c r="O35" s="79"/>
      <c r="P35" s="81">
        <v>180.0</v>
      </c>
      <c r="Q35" s="81">
        <v>175.97116191617263</v>
      </c>
      <c r="R35" s="81">
        <v>168.86102375985726</v>
      </c>
      <c r="S35" s="79"/>
      <c r="T35" s="79"/>
      <c r="U35" s="72"/>
      <c r="V35" s="81">
        <v>200.0</v>
      </c>
      <c r="W35" s="81">
        <v>180.0</v>
      </c>
      <c r="X35" s="72" t="str">
        <f t="array" ref="X35">INDEX(Summary!X:X,MATCH(NIFTY!$B35,Summary!$B:$B,0))</f>
        <v/>
      </c>
      <c r="Y35" s="81">
        <v>150.0</v>
      </c>
      <c r="Z35" s="81">
        <v>170.0</v>
      </c>
    </row>
    <row r="36" ht="15.75" customHeight="1">
      <c r="B36" s="73" t="str">
        <f>HYPERLINK("C:\Users\Natik\Desktop\_\All Stock Work\Max Pain Analysis\Stocks\JSWSTEEL - JSW STEEL LIMITED.xlsx","JSWSTEEL")</f>
        <v>JSWSTEEL</v>
      </c>
      <c r="C36" s="74" t="s">
        <v>265</v>
      </c>
      <c r="D36" s="75">
        <v>154.6</v>
      </c>
      <c r="E36" s="76">
        <v>159.0</v>
      </c>
      <c r="F36" s="76">
        <v>170.0</v>
      </c>
      <c r="G36" s="76">
        <v>158.0</v>
      </c>
      <c r="H36" s="76">
        <v>166.3</v>
      </c>
      <c r="I36" s="77">
        <v>165.45</v>
      </c>
      <c r="J36" s="78" t="s">
        <v>650</v>
      </c>
      <c r="K36" s="79"/>
      <c r="L36" s="75">
        <v>165.35</v>
      </c>
      <c r="M36" s="76">
        <v>166.45</v>
      </c>
      <c r="N36" s="80" t="s">
        <v>524</v>
      </c>
      <c r="O36" s="79"/>
      <c r="P36" s="81">
        <v>150.0</v>
      </c>
      <c r="Q36" s="81">
        <v>165.086288036934</v>
      </c>
      <c r="R36" s="81">
        <v>163.5546056949958</v>
      </c>
      <c r="S36" s="79"/>
      <c r="T36" s="79"/>
      <c r="U36" s="72"/>
      <c r="V36" s="81">
        <v>170.0</v>
      </c>
      <c r="W36" s="81">
        <v>180.0</v>
      </c>
      <c r="X36" s="72" t="str">
        <f t="array" ref="X36">INDEX(Summary!X:X,MATCH(NIFTY!$B36,Summary!$B:$B,0))</f>
        <v/>
      </c>
      <c r="Y36" s="81">
        <v>150.0</v>
      </c>
      <c r="Z36" s="81">
        <v>140.0</v>
      </c>
    </row>
    <row r="37" ht="15.75" customHeight="1">
      <c r="B37" s="73" t="str">
        <f>HYPERLINK("C:\Users\Natik\Desktop\_\All Stock Work\Max Pain Analysis\Stocks\LT - LARSEN &amp; TOUBRO LIMITED.xlsx","LT")</f>
        <v>LT</v>
      </c>
      <c r="C37" s="74" t="s">
        <v>280</v>
      </c>
      <c r="D37" s="75">
        <v>807.1</v>
      </c>
      <c r="E37" s="76">
        <v>834.35</v>
      </c>
      <c r="F37" s="76">
        <v>834.35</v>
      </c>
      <c r="G37" s="76">
        <v>804.4</v>
      </c>
      <c r="H37" s="76">
        <v>812.8</v>
      </c>
      <c r="I37" s="77">
        <v>805.0</v>
      </c>
      <c r="J37" s="78" t="s">
        <v>651</v>
      </c>
      <c r="K37" s="79"/>
      <c r="L37" s="75">
        <v>807.5</v>
      </c>
      <c r="M37" s="76">
        <v>811.0</v>
      </c>
      <c r="N37" s="80">
        <v>825.0</v>
      </c>
      <c r="O37" s="79"/>
      <c r="P37" s="81">
        <v>800.0</v>
      </c>
      <c r="Q37" s="81">
        <v>808.5508081792907</v>
      </c>
      <c r="R37" s="81">
        <v>782.8291983137946</v>
      </c>
      <c r="S37" s="79"/>
      <c r="T37" s="79"/>
      <c r="U37" s="72"/>
      <c r="V37" s="81">
        <v>900.0</v>
      </c>
      <c r="W37" s="81">
        <v>800.0</v>
      </c>
      <c r="X37" s="72" t="str">
        <f t="array" ref="X37">INDEX(Summary!X:X,MATCH(NIFTY!$B37,Summary!$B:$B,0))</f>
        <v/>
      </c>
      <c r="Y37" s="81">
        <v>800.0</v>
      </c>
      <c r="Z37" s="81">
        <v>700.0</v>
      </c>
    </row>
    <row r="38" ht="15.75" customHeight="1">
      <c r="B38" s="73" t="str">
        <f>HYPERLINK("C:\Users\Natik\Desktop\_\All Stock Work\Max Pain Analysis\Stocks\M%26M - MAHINDRA &amp; MAHINDRA LIMITED.xlsx","M%26M")</f>
        <v>M%26M</v>
      </c>
      <c r="C38" s="74" t="s">
        <v>287</v>
      </c>
      <c r="D38" s="75">
        <v>326.4</v>
      </c>
      <c r="E38" s="76">
        <v>335.75</v>
      </c>
      <c r="F38" s="76">
        <v>391.65</v>
      </c>
      <c r="G38" s="76">
        <v>332.4</v>
      </c>
      <c r="H38" s="76">
        <v>381.4</v>
      </c>
      <c r="I38" s="77">
        <v>383.5</v>
      </c>
      <c r="J38" s="78" t="s">
        <v>652</v>
      </c>
      <c r="K38" s="79"/>
      <c r="L38" s="75">
        <v>381.7</v>
      </c>
      <c r="M38" s="76">
        <v>383.45</v>
      </c>
      <c r="N38" s="80">
        <v>384.7</v>
      </c>
      <c r="O38" s="79"/>
      <c r="P38" s="81">
        <v>340.0</v>
      </c>
      <c r="Q38" s="81">
        <v>349.38910087691266</v>
      </c>
      <c r="R38" s="81">
        <v>340.88941350720563</v>
      </c>
      <c r="S38" s="79"/>
      <c r="T38" s="79"/>
      <c r="U38" s="72"/>
      <c r="V38" s="81">
        <v>380.0</v>
      </c>
      <c r="W38" s="81">
        <v>350.0</v>
      </c>
      <c r="X38" s="72" t="str">
        <f t="array" ref="X38">INDEX(Summary!X:X,MATCH(NIFTY!$B38,Summary!$B:$B,0))</f>
        <v/>
      </c>
      <c r="Y38" s="81">
        <v>300.0</v>
      </c>
      <c r="Z38" s="81">
        <v>250.0</v>
      </c>
    </row>
    <row r="39" ht="15.75" customHeight="1">
      <c r="B39" s="73" t="str">
        <f>HYPERLINK("C:\Users\Natik\Desktop\_\All Stock Work\Max Pain Analysis\Stocks\MARUTI - MARUTI SUZUKI INDIA LIMITED.xlsx","MARUTI")</f>
        <v>MARUTI</v>
      </c>
      <c r="C39" s="74" t="s">
        <v>296</v>
      </c>
      <c r="D39" s="75">
        <v>4698.1</v>
      </c>
      <c r="E39" s="76">
        <v>4794.45</v>
      </c>
      <c r="F39" s="76">
        <v>5399.0</v>
      </c>
      <c r="G39" s="76">
        <v>4736.2</v>
      </c>
      <c r="H39" s="76">
        <v>5326.65</v>
      </c>
      <c r="I39" s="77">
        <v>5350.0</v>
      </c>
      <c r="J39" s="78" t="s">
        <v>653</v>
      </c>
      <c r="K39" s="79"/>
      <c r="L39" s="75">
        <v>5305.7</v>
      </c>
      <c r="M39" s="76">
        <v>5344.15</v>
      </c>
      <c r="N39" s="80">
        <v>5342.05</v>
      </c>
      <c r="O39" s="79"/>
      <c r="P39" s="81">
        <v>5000.0</v>
      </c>
      <c r="Q39" s="81">
        <v>5126.2963409526465</v>
      </c>
      <c r="R39" s="81">
        <v>4974.034363304759</v>
      </c>
      <c r="S39" s="79"/>
      <c r="T39" s="79"/>
      <c r="U39" s="72"/>
      <c r="V39" s="81">
        <v>5500.0</v>
      </c>
      <c r="W39" s="81">
        <v>5000.0</v>
      </c>
      <c r="X39" s="72" t="str">
        <f t="array" ref="X39">INDEX(Summary!X:X,MATCH(NIFTY!$B39,Summary!$B:$B,0))</f>
        <v/>
      </c>
      <c r="Y39" s="81">
        <v>4000.0</v>
      </c>
      <c r="Z39" s="81">
        <v>4500.0</v>
      </c>
    </row>
    <row r="40" ht="15.75" customHeight="1">
      <c r="B40" s="73" t="str">
        <f>HYPERLINK("C:\Users\Natik\Desktop\_\All Stock Work\Max Pain Analysis\Stocks\NESTLEIND - NESTLE INDIA LIMITED.xlsx","NESTLEIND")</f>
        <v>NESTLEIND</v>
      </c>
      <c r="C40" s="74" t="s">
        <v>329</v>
      </c>
      <c r="D40" s="75">
        <v>16871.25</v>
      </c>
      <c r="E40" s="76">
        <v>17436.95</v>
      </c>
      <c r="F40" s="76">
        <v>17544.0</v>
      </c>
      <c r="G40" s="76">
        <v>16575.0</v>
      </c>
      <c r="H40" s="76">
        <v>16839.7</v>
      </c>
      <c r="I40" s="77">
        <v>16813.95</v>
      </c>
      <c r="J40" s="78" t="s">
        <v>654</v>
      </c>
      <c r="K40" s="79"/>
      <c r="L40" s="75">
        <v>16760.05</v>
      </c>
      <c r="M40" s="76">
        <v>16780.65</v>
      </c>
      <c r="N40" s="80">
        <v>17000.0</v>
      </c>
      <c r="O40" s="79"/>
      <c r="P40" s="81">
        <v>16000.0</v>
      </c>
      <c r="Q40" s="81">
        <v>15358.974216368935</v>
      </c>
      <c r="R40" s="81">
        <v>15177.990414843802</v>
      </c>
      <c r="S40" s="79"/>
      <c r="T40" s="79"/>
      <c r="U40" s="72"/>
      <c r="V40" s="81">
        <v>18000.0</v>
      </c>
      <c r="W40" s="81">
        <v>16000.0</v>
      </c>
      <c r="X40" s="72" t="str">
        <f t="array" ref="X40">INDEX(Summary!X:X,MATCH(NIFTY!$B40,Summary!$B:$B,0))</f>
        <v/>
      </c>
      <c r="Y40" s="81">
        <v>16000.0</v>
      </c>
      <c r="Z40" s="81">
        <v>13000.0</v>
      </c>
    </row>
    <row r="41" ht="15.75" customHeight="1">
      <c r="B41" s="73" t="str">
        <f>HYPERLINK("C:\Users\Natik\Desktop\_\All Stock Work\Max Pain Analysis\Stocks\NTPC - NTPC LIMITED.xlsx","NTPC")</f>
        <v>NTPC</v>
      </c>
      <c r="C41" s="74" t="s">
        <v>338</v>
      </c>
      <c r="D41" s="75">
        <v>85.2</v>
      </c>
      <c r="E41" s="76">
        <v>88.35</v>
      </c>
      <c r="F41" s="76">
        <v>88.35</v>
      </c>
      <c r="G41" s="76">
        <v>85.3</v>
      </c>
      <c r="H41" s="76">
        <v>87.1</v>
      </c>
      <c r="I41" s="77">
        <v>87.55</v>
      </c>
      <c r="J41" s="78" t="s">
        <v>655</v>
      </c>
      <c r="K41" s="79"/>
      <c r="L41" s="75">
        <v>87.45</v>
      </c>
      <c r="M41" s="76">
        <v>87.5</v>
      </c>
      <c r="N41" s="80">
        <v>85.95</v>
      </c>
      <c r="O41" s="79"/>
      <c r="P41" s="81">
        <v>84.0</v>
      </c>
      <c r="Q41" s="81">
        <v>82.54091606994588</v>
      </c>
      <c r="R41" s="81">
        <v>77.70457929433528</v>
      </c>
      <c r="S41" s="79"/>
      <c r="T41" s="79"/>
      <c r="U41" s="72"/>
      <c r="V41" s="81">
        <v>90.0</v>
      </c>
      <c r="W41" s="81">
        <v>100.0</v>
      </c>
      <c r="X41" s="72" t="str">
        <f t="array" ref="X41">INDEX(Summary!X:X,MATCH(NIFTY!$B41,Summary!$B:$B,0))</f>
        <v/>
      </c>
      <c r="Y41" s="81">
        <v>80.0</v>
      </c>
      <c r="Z41" s="81">
        <v>81.0</v>
      </c>
    </row>
    <row r="42" ht="15.75" customHeight="1">
      <c r="B42" s="73" t="str">
        <f>HYPERLINK("C:\Users\Natik\Desktop\_\All Stock Work\Max Pain Analysis\Stocks\ONGC - OIL &amp; NATURAL GAS CORPORATION LIMITED.xlsx","ONGC")</f>
        <v>ONGC</v>
      </c>
      <c r="C42" s="74" t="s">
        <v>344</v>
      </c>
      <c r="D42" s="75">
        <v>74.45</v>
      </c>
      <c r="E42" s="76">
        <v>76.0</v>
      </c>
      <c r="F42" s="76">
        <v>77.65</v>
      </c>
      <c r="G42" s="76">
        <v>76.0</v>
      </c>
      <c r="H42" s="76">
        <v>77.3</v>
      </c>
      <c r="I42" s="77">
        <v>77.4</v>
      </c>
      <c r="J42" s="78" t="s">
        <v>656</v>
      </c>
      <c r="K42" s="79"/>
      <c r="L42" s="75">
        <v>77.7</v>
      </c>
      <c r="M42" s="76">
        <v>77.5</v>
      </c>
      <c r="N42" s="80">
        <v>74.0</v>
      </c>
      <c r="O42" s="79"/>
      <c r="P42" s="81">
        <v>65.0</v>
      </c>
      <c r="Q42" s="81">
        <v>68.74618619396695</v>
      </c>
      <c r="R42" s="81">
        <v>68.00791379007777</v>
      </c>
      <c r="S42" s="79"/>
      <c r="T42" s="79"/>
      <c r="U42" s="72"/>
      <c r="V42" s="81">
        <v>57.5</v>
      </c>
      <c r="W42" s="81">
        <v>75.0</v>
      </c>
      <c r="X42" s="72" t="str">
        <f t="array" ref="X42">INDEX(Summary!X:X,MATCH(NIFTY!$B42,Summary!$B:$B,0))</f>
        <v/>
      </c>
      <c r="Y42" s="81">
        <v>55.0</v>
      </c>
      <c r="Z42" s="81">
        <v>65.0</v>
      </c>
    </row>
    <row r="43" ht="15.75" customHeight="1">
      <c r="B43" s="73" t="str">
        <f>HYPERLINK("C:\Users\Natik\Desktop\_\All Stock Work\Max Pain Analysis\Stocks\POWERGRID - POWER GRID CORPORATION OF INDIA LIMITED.xlsx","POWERGRID")</f>
        <v>POWERGRID</v>
      </c>
      <c r="C43" s="74" t="s">
        <v>359</v>
      </c>
      <c r="D43" s="75">
        <v>158.35</v>
      </c>
      <c r="E43" s="76">
        <v>160.9</v>
      </c>
      <c r="F43" s="76">
        <v>166.7</v>
      </c>
      <c r="G43" s="76">
        <v>158.35</v>
      </c>
      <c r="H43" s="76">
        <v>164.45</v>
      </c>
      <c r="I43" s="77">
        <v>164.45</v>
      </c>
      <c r="J43" s="78" t="s">
        <v>657</v>
      </c>
      <c r="K43" s="79"/>
      <c r="L43" s="75">
        <v>164.65</v>
      </c>
      <c r="M43" s="76">
        <v>164.75</v>
      </c>
      <c r="N43" s="80">
        <v>166.0</v>
      </c>
      <c r="O43" s="79"/>
      <c r="P43" s="81">
        <v>160.0</v>
      </c>
      <c r="Q43" s="81">
        <v>149.27444167240768</v>
      </c>
      <c r="R43" s="81">
        <v>147.84062228817095</v>
      </c>
      <c r="S43" s="79"/>
      <c r="T43" s="79"/>
      <c r="U43" s="72"/>
      <c r="V43" s="81">
        <v>170.0</v>
      </c>
      <c r="W43" s="81">
        <v>180.0</v>
      </c>
      <c r="X43" s="72" t="str">
        <f t="array" ref="X43">INDEX(Summary!X:X,MATCH(NIFTY!$B43,Summary!$B:$B,0))</f>
        <v/>
      </c>
      <c r="Y43" s="81">
        <v>150.0</v>
      </c>
      <c r="Z43" s="81">
        <v>150.0</v>
      </c>
    </row>
    <row r="44" ht="15.75" customHeight="1">
      <c r="B44" s="73" t="str">
        <f>HYPERLINK("C:\Users\Natik\Desktop\_\All Stock Work\Max Pain Analysis\Stocks\RELIANCE - RELIANCE INDUSTRIES LIMITED.xlsx","RELIANCE")</f>
        <v>RELIANCE</v>
      </c>
      <c r="C44" s="74" t="s">
        <v>371</v>
      </c>
      <c r="D44" s="75">
        <v>1192.15</v>
      </c>
      <c r="E44" s="76">
        <v>1214.0</v>
      </c>
      <c r="F44" s="76">
        <v>1232.8</v>
      </c>
      <c r="G44" s="76">
        <v>1193.0</v>
      </c>
      <c r="H44" s="76">
        <v>1219.95</v>
      </c>
      <c r="I44" s="77">
        <v>1217.75</v>
      </c>
      <c r="J44" s="78" t="s">
        <v>658</v>
      </c>
      <c r="K44" s="79"/>
      <c r="L44" s="75">
        <v>1217.5</v>
      </c>
      <c r="M44" s="76">
        <v>1223.6</v>
      </c>
      <c r="N44" s="80">
        <v>1230.0</v>
      </c>
      <c r="O44" s="79"/>
      <c r="P44" s="81">
        <v>1200.0</v>
      </c>
      <c r="Q44" s="81">
        <v>1163.3182269521142</v>
      </c>
      <c r="R44" s="81">
        <v>1133.3960486127517</v>
      </c>
      <c r="S44" s="79"/>
      <c r="T44" s="79"/>
      <c r="U44" s="72"/>
      <c r="V44" s="81">
        <v>1300.0</v>
      </c>
      <c r="W44" s="81">
        <v>1200.0</v>
      </c>
      <c r="X44" s="72" t="str">
        <f t="array" ref="X44">INDEX(Summary!X:X,MATCH(NIFTY!$B44,Summary!$B:$B,0))</f>
        <v/>
      </c>
      <c r="Y44" s="81">
        <v>1100.0</v>
      </c>
      <c r="Z44" s="81">
        <v>1000.0</v>
      </c>
    </row>
    <row r="45" ht="15.75" customHeight="1">
      <c r="B45" s="73" t="str">
        <f>HYPERLINK("C:\Users\Natik\Desktop\_\All Stock Work\Max Pain Analysis\Stocks\SHREECEM - SHREE CEMENT LIMITED.xlsx","SHREECEM")</f>
        <v>SHREECEM</v>
      </c>
      <c r="C45" s="74" t="s">
        <v>378</v>
      </c>
      <c r="D45" s="75">
        <v>16063.95</v>
      </c>
      <c r="E45" s="76">
        <v>16208.0</v>
      </c>
      <c r="F45" s="76">
        <v>17010.0</v>
      </c>
      <c r="G45" s="76">
        <v>16135.0</v>
      </c>
      <c r="H45" s="76">
        <v>16935.3</v>
      </c>
      <c r="I45" s="77">
        <v>16959.55</v>
      </c>
      <c r="J45" s="78">
        <v>92986.0</v>
      </c>
      <c r="K45" s="79"/>
      <c r="L45" s="75">
        <v>16972.15</v>
      </c>
      <c r="M45" s="76">
        <v>16853.65</v>
      </c>
      <c r="N45" s="80" t="s">
        <v>524</v>
      </c>
      <c r="O45" s="79"/>
      <c r="P45" s="81">
        <v>18000.0</v>
      </c>
      <c r="Q45" s="81">
        <v>15389.661815068494</v>
      </c>
      <c r="R45" s="81">
        <v>15383.076593923834</v>
      </c>
      <c r="S45" s="72"/>
      <c r="T45" s="81"/>
      <c r="U45" s="79"/>
      <c r="V45" s="81">
        <v>20000.0</v>
      </c>
      <c r="W45" s="81">
        <v>18000.0</v>
      </c>
      <c r="X45" s="72"/>
      <c r="Y45" s="81">
        <v>18000.0</v>
      </c>
      <c r="Z45" s="81">
        <v>15500.0</v>
      </c>
    </row>
    <row r="46" ht="15.75" customHeight="1">
      <c r="B46" s="73" t="str">
        <f>HYPERLINK("C:\Users\Natik\Desktop\_\All Stock Work\Max Pain Analysis\Stocks\SUNPHARMA - SUN PHARMACEUTICAL INDUSTRIES LIMITED.xlsx","SUNPHARMA")</f>
        <v>SUNPHARMA</v>
      </c>
      <c r="C46" s="74" t="s">
        <v>390</v>
      </c>
      <c r="D46" s="75">
        <v>436.7</v>
      </c>
      <c r="E46" s="76">
        <v>454.4</v>
      </c>
      <c r="F46" s="76">
        <v>473.9</v>
      </c>
      <c r="G46" s="76">
        <v>443.4</v>
      </c>
      <c r="H46" s="76">
        <v>454.45</v>
      </c>
      <c r="I46" s="77">
        <v>452.45</v>
      </c>
      <c r="J46" s="78" t="s">
        <v>659</v>
      </c>
      <c r="K46" s="79"/>
      <c r="L46" s="75">
        <v>454.9</v>
      </c>
      <c r="M46" s="76">
        <v>456.0</v>
      </c>
      <c r="N46" s="80">
        <v>458.0</v>
      </c>
      <c r="O46" s="79"/>
      <c r="P46" s="81">
        <v>400.0</v>
      </c>
      <c r="Q46" s="81">
        <v>402.2864463999813</v>
      </c>
      <c r="R46" s="81">
        <v>375.4655683197091</v>
      </c>
      <c r="S46" s="79"/>
      <c r="T46" s="79"/>
      <c r="U46" s="72"/>
      <c r="V46" s="81">
        <v>500.0</v>
      </c>
      <c r="W46" s="81">
        <v>450.0</v>
      </c>
      <c r="X46" s="72" t="str">
        <f t="array" ref="X46">INDEX(Summary!X:X,MATCH(NIFTY!$B46,Summary!$B:$B,0))</f>
        <v/>
      </c>
      <c r="Y46" s="81">
        <v>450.0</v>
      </c>
      <c r="Z46" s="81">
        <v>400.0</v>
      </c>
    </row>
    <row r="47" ht="15.75" customHeight="1">
      <c r="B47" s="73" t="str">
        <f>HYPERLINK("C:\Users\Natik\Desktop\_\All Stock Work\Max Pain Analysis\Stocks\TATAMOTORS - TATA MOTORS LIMITED.xlsx","TATAMOTORS")</f>
        <v>TATAMOTORS</v>
      </c>
      <c r="C47" s="74" t="s">
        <v>402</v>
      </c>
      <c r="D47" s="75">
        <v>67.6</v>
      </c>
      <c r="E47" s="76">
        <v>69.6</v>
      </c>
      <c r="F47" s="76">
        <v>76.25</v>
      </c>
      <c r="G47" s="76">
        <v>69.1</v>
      </c>
      <c r="H47" s="76">
        <v>74.6</v>
      </c>
      <c r="I47" s="77">
        <v>74.5</v>
      </c>
      <c r="J47" s="78" t="s">
        <v>660</v>
      </c>
      <c r="K47" s="79"/>
      <c r="L47" s="75">
        <v>74.45</v>
      </c>
      <c r="M47" s="76">
        <v>74.6</v>
      </c>
      <c r="N47" s="80">
        <v>75.5</v>
      </c>
      <c r="O47" s="79"/>
      <c r="P47" s="81">
        <v>70.0</v>
      </c>
      <c r="Q47" s="81">
        <v>69.85402080765559</v>
      </c>
      <c r="R47" s="81">
        <v>68.71859235332602</v>
      </c>
      <c r="S47" s="79"/>
      <c r="T47" s="79"/>
      <c r="U47" s="72"/>
      <c r="V47" s="81">
        <v>80.0</v>
      </c>
      <c r="W47" s="81">
        <v>100.0</v>
      </c>
      <c r="X47" s="72" t="str">
        <f t="array" ref="X47">INDEX(Summary!X:X,MATCH(NIFTY!$B47,Summary!$B:$B,0))</f>
        <v/>
      </c>
      <c r="Y47" s="81">
        <v>65.0</v>
      </c>
      <c r="Z47" s="81">
        <v>70.0</v>
      </c>
    </row>
    <row r="48" ht="15.75" customHeight="1">
      <c r="B48" s="73" t="str">
        <f>HYPERLINK("C:\Users\Natik\Desktop\_\All Stock Work\Max Pain Analysis\Stocks\TATASTEEL - --.xlsx","TATASTEEL")</f>
        <v>TATASTEEL</v>
      </c>
      <c r="C48" s="74" t="s">
        <v>6</v>
      </c>
      <c r="D48" s="75">
        <v>274.75</v>
      </c>
      <c r="E48" s="76">
        <v>280.5</v>
      </c>
      <c r="F48" s="76">
        <v>289.6</v>
      </c>
      <c r="G48" s="76">
        <v>277.65</v>
      </c>
      <c r="H48" s="76">
        <v>284.85</v>
      </c>
      <c r="I48" s="77">
        <v>284.0</v>
      </c>
      <c r="J48" s="78" t="s">
        <v>661</v>
      </c>
      <c r="K48" s="79"/>
      <c r="L48" s="75">
        <v>284.9</v>
      </c>
      <c r="M48" s="76">
        <v>285.0</v>
      </c>
      <c r="N48" s="80">
        <v>287.0</v>
      </c>
      <c r="O48" s="79"/>
      <c r="P48" s="81">
        <v>280.0</v>
      </c>
      <c r="Q48" s="81">
        <v>284.7315541007843</v>
      </c>
      <c r="R48" s="81">
        <v>280.51757359918787</v>
      </c>
      <c r="S48" s="79"/>
      <c r="T48" s="79"/>
      <c r="U48" s="72"/>
      <c r="V48" s="81">
        <v>300.0</v>
      </c>
      <c r="W48" s="81">
        <v>400.0</v>
      </c>
      <c r="X48" s="72" t="str">
        <f t="array" ref="X48">INDEX(Summary!X:X,MATCH(NIFTY!$B48,Summary!$B:$B,0))</f>
        <v/>
      </c>
      <c r="Y48" s="81">
        <v>200.0</v>
      </c>
      <c r="Z48" s="81">
        <v>250.0</v>
      </c>
    </row>
    <row r="49" ht="15.75" customHeight="1">
      <c r="B49" s="73" t="str">
        <f>HYPERLINK("C:\Users\Natik\Desktop\_\All Stock Work\Max Pain Analysis\Stocks\TCS - TATA CONSULTANCY SERVICES LIMITED.xlsx","TCS")</f>
        <v>TCS</v>
      </c>
      <c r="C49" s="74" t="s">
        <v>413</v>
      </c>
      <c r="D49" s="75">
        <v>1705.45</v>
      </c>
      <c r="E49" s="76">
        <v>1750.45</v>
      </c>
      <c r="F49" s="76">
        <v>1778.8</v>
      </c>
      <c r="G49" s="76">
        <v>1731.2</v>
      </c>
      <c r="H49" s="76">
        <v>1766.15</v>
      </c>
      <c r="I49" s="77">
        <v>1761.0</v>
      </c>
      <c r="J49" s="78" t="s">
        <v>662</v>
      </c>
      <c r="K49" s="79"/>
      <c r="L49" s="75">
        <v>1764.85</v>
      </c>
      <c r="M49" s="76">
        <v>1769.0</v>
      </c>
      <c r="N49" s="80">
        <v>1767.35</v>
      </c>
      <c r="O49" s="79"/>
      <c r="P49" s="81">
        <v>1800.0</v>
      </c>
      <c r="Q49" s="81">
        <v>1893.1178816891306</v>
      </c>
      <c r="R49" s="81">
        <v>1857.5177399270283</v>
      </c>
      <c r="S49" s="79"/>
      <c r="T49" s="79"/>
      <c r="U49" s="72"/>
      <c r="V49" s="81">
        <v>2000.0</v>
      </c>
      <c r="W49" s="81">
        <v>2200.0</v>
      </c>
      <c r="X49" s="72" t="str">
        <f t="array" ref="X49">INDEX(Summary!X:X,MATCH(NIFTY!$B49,Summary!$B:$B,0))</f>
        <v/>
      </c>
      <c r="Y49" s="81">
        <v>1760.0</v>
      </c>
      <c r="Z49" s="81">
        <v>1700.0</v>
      </c>
    </row>
    <row r="50" ht="15.75" customHeight="1">
      <c r="B50" s="73" t="str">
        <f>HYPERLINK("C:\Users\Natik\Desktop\_\All Stock Work\Max Pain Analysis\Stocks\TECHM - TECH MAHINDRA LIMITED.xlsx","TECHM")</f>
        <v>TECHM</v>
      </c>
      <c r="C50" s="74" t="s">
        <v>417</v>
      </c>
      <c r="D50" s="75">
        <v>558.9</v>
      </c>
      <c r="E50" s="76">
        <v>570.0</v>
      </c>
      <c r="F50" s="76">
        <v>582.7</v>
      </c>
      <c r="G50" s="76">
        <v>537.55</v>
      </c>
      <c r="H50" s="76">
        <v>545.25</v>
      </c>
      <c r="I50" s="77">
        <v>547.0</v>
      </c>
      <c r="J50" s="78" t="s">
        <v>663</v>
      </c>
      <c r="K50" s="79"/>
      <c r="L50" s="75">
        <v>548.05</v>
      </c>
      <c r="M50" s="76">
        <v>549.25</v>
      </c>
      <c r="N50" s="80" t="s">
        <v>524</v>
      </c>
      <c r="O50" s="79"/>
      <c r="P50" s="81">
        <v>550.0</v>
      </c>
      <c r="Q50" s="81">
        <v>535.262345095965</v>
      </c>
      <c r="R50" s="81">
        <v>528.385034965035</v>
      </c>
      <c r="S50" s="79"/>
      <c r="T50" s="79"/>
      <c r="U50" s="72"/>
      <c r="V50" s="81">
        <v>600.0</v>
      </c>
      <c r="W50" s="81">
        <v>560.0</v>
      </c>
      <c r="X50" s="72" t="str">
        <f t="array" ref="X50">INDEX(Summary!X:X,MATCH(NIFTY!$B50,Summary!$B:$B,0))</f>
        <v/>
      </c>
      <c r="Y50" s="81">
        <v>500.0</v>
      </c>
      <c r="Z50" s="81">
        <v>540.0</v>
      </c>
    </row>
    <row r="51" ht="15.75" customHeight="1">
      <c r="B51" s="73" t="str">
        <f>HYPERLINK("C:\Users\Natik\Desktop\_\All Stock Work\Max Pain Analysis\Stocks\TITAN - TITAN COMPANY LIMITED.xlsx","TITAN")</f>
        <v>TITAN</v>
      </c>
      <c r="C51" s="74" t="s">
        <v>420</v>
      </c>
      <c r="D51" s="75">
        <v>913.45</v>
      </c>
      <c r="E51" s="76">
        <v>931.65</v>
      </c>
      <c r="F51" s="76">
        <v>1044.0</v>
      </c>
      <c r="G51" s="76">
        <v>917.35</v>
      </c>
      <c r="H51" s="76">
        <v>1013.85</v>
      </c>
      <c r="I51" s="77">
        <v>1016.6</v>
      </c>
      <c r="J51" s="78" t="s">
        <v>664</v>
      </c>
      <c r="K51" s="79"/>
      <c r="L51" s="75">
        <v>1012.95</v>
      </c>
      <c r="M51" s="76">
        <v>1018.0</v>
      </c>
      <c r="N51" s="80">
        <v>960.0</v>
      </c>
      <c r="O51" s="79"/>
      <c r="P51" s="81">
        <v>960.0</v>
      </c>
      <c r="Q51" s="81">
        <v>973.6943032890512</v>
      </c>
      <c r="R51" s="81">
        <v>962.2482713174695</v>
      </c>
      <c r="S51" s="79"/>
      <c r="T51" s="79"/>
      <c r="U51" s="72"/>
      <c r="V51" s="81">
        <v>1000.0</v>
      </c>
      <c r="W51" s="81">
        <v>1100.0</v>
      </c>
      <c r="X51" s="72" t="str">
        <f t="array" ref="X51">INDEX(Summary!X:X,MATCH(NIFTY!$B51,Summary!$B:$B,0))</f>
        <v/>
      </c>
      <c r="Y51" s="81">
        <v>900.0</v>
      </c>
      <c r="Z51" s="81">
        <v>800.0</v>
      </c>
    </row>
    <row r="52" ht="15.75" customHeight="1">
      <c r="B52" s="73" t="str">
        <f>HYPERLINK("C:\Users\Natik\Desktop\_\All Stock Work\Max Pain Analysis\Stocks\ULTRACEMCO - ULTRATECH CEMENT LIMITED.xlsx","ULTRACEMCO")</f>
        <v>ULTRACEMCO</v>
      </c>
      <c r="C52" s="74" t="s">
        <v>438</v>
      </c>
      <c r="D52" s="75">
        <v>3256.45</v>
      </c>
      <c r="E52" s="76">
        <v>3301.0</v>
      </c>
      <c r="F52" s="76">
        <v>3389.8</v>
      </c>
      <c r="G52" s="76">
        <v>3258.5</v>
      </c>
      <c r="H52" s="76">
        <v>3366.05</v>
      </c>
      <c r="I52" s="77">
        <v>3347.1</v>
      </c>
      <c r="J52" s="78" t="s">
        <v>665</v>
      </c>
      <c r="K52" s="79"/>
      <c r="L52" s="75">
        <v>3340.95</v>
      </c>
      <c r="M52" s="76">
        <v>3355.0</v>
      </c>
      <c r="N52" s="80">
        <v>3296.05</v>
      </c>
      <c r="O52" s="79"/>
      <c r="P52" s="81">
        <v>3400.0</v>
      </c>
      <c r="Q52" s="81">
        <v>3286.9782654568476</v>
      </c>
      <c r="R52" s="81">
        <v>3167.986577181208</v>
      </c>
      <c r="S52" s="79"/>
      <c r="T52" s="79"/>
      <c r="U52" s="72"/>
      <c r="V52" s="81">
        <v>3500.0</v>
      </c>
      <c r="W52" s="81">
        <v>4000.0</v>
      </c>
      <c r="X52" s="72" t="str">
        <f t="array" ref="X52">INDEX(Summary!X:X,MATCH(NIFTY!$B52,Summary!$B:$B,0))</f>
        <v/>
      </c>
      <c r="Y52" s="81">
        <v>3000.0</v>
      </c>
      <c r="Z52" s="81">
        <v>3900.0</v>
      </c>
    </row>
    <row r="53" ht="15.75" customHeight="1">
      <c r="B53" s="73" t="str">
        <f>HYPERLINK("C:\Users\Natik\Desktop\_\All Stock Work\Max Pain Analysis\Stocks\UPL - UPL LIMITED.xlsx","UPL")</f>
        <v>UPL</v>
      </c>
      <c r="C53" s="74" t="s">
        <v>441</v>
      </c>
      <c r="D53" s="75">
        <v>320.2</v>
      </c>
      <c r="E53" s="76">
        <v>330.0</v>
      </c>
      <c r="F53" s="76">
        <v>332.4</v>
      </c>
      <c r="G53" s="76">
        <v>312.75</v>
      </c>
      <c r="H53" s="76">
        <v>319.0</v>
      </c>
      <c r="I53" s="77">
        <v>320.0</v>
      </c>
      <c r="J53" s="78" t="s">
        <v>666</v>
      </c>
      <c r="K53" s="79"/>
      <c r="L53" s="75">
        <v>322.2</v>
      </c>
      <c r="M53" s="76">
        <v>318.55</v>
      </c>
      <c r="N53" s="80">
        <v>317.0</v>
      </c>
      <c r="O53" s="79"/>
      <c r="P53" s="81">
        <v>320.0</v>
      </c>
      <c r="Q53" s="81">
        <v>298.36894574327306</v>
      </c>
      <c r="R53" s="81">
        <v>297.0307568900001</v>
      </c>
      <c r="S53" s="79"/>
      <c r="T53" s="79"/>
      <c r="U53" s="72"/>
      <c r="V53" s="81">
        <v>350.0</v>
      </c>
      <c r="W53" s="81">
        <v>340.0</v>
      </c>
      <c r="X53" s="72" t="str">
        <f t="array" ref="X53">INDEX(Summary!X:X,MATCH(NIFTY!$B53,Summary!$B:$B,0))</f>
        <v/>
      </c>
      <c r="Y53" s="81">
        <v>300.0</v>
      </c>
      <c r="Z53" s="81">
        <v>280.0</v>
      </c>
    </row>
    <row r="54" ht="15.75" customHeight="1">
      <c r="B54" s="73" t="str">
        <f>HYPERLINK("C:\Users\Natik\Desktop\_\All Stock Work\Max Pain Analysis\Stocks\VEDL - VEDANTA LIMITED.xlsx","VEDL")</f>
        <v>VEDL</v>
      </c>
      <c r="C54" s="74" t="s">
        <v>444</v>
      </c>
      <c r="D54" s="75">
        <v>70.3</v>
      </c>
      <c r="E54" s="76">
        <v>73.0</v>
      </c>
      <c r="F54" s="76">
        <v>77.3</v>
      </c>
      <c r="G54" s="76">
        <v>72.8</v>
      </c>
      <c r="H54" s="76">
        <v>76.8</v>
      </c>
      <c r="I54" s="77">
        <v>77.3</v>
      </c>
      <c r="J54" s="78" t="s">
        <v>667</v>
      </c>
      <c r="K54" s="79"/>
      <c r="L54" s="75">
        <v>77.75</v>
      </c>
      <c r="M54" s="76">
        <v>77.45</v>
      </c>
      <c r="N54" s="80">
        <v>77.45</v>
      </c>
      <c r="O54" s="79"/>
      <c r="P54" s="81">
        <v>70.0</v>
      </c>
      <c r="Q54" s="81">
        <v>68.2077596693209</v>
      </c>
      <c r="R54" s="81">
        <v>66.9528804001961</v>
      </c>
      <c r="S54" s="79"/>
      <c r="T54" s="79"/>
      <c r="U54" s="72"/>
      <c r="V54" s="81">
        <v>80.0</v>
      </c>
      <c r="W54" s="81">
        <v>75.0</v>
      </c>
      <c r="X54" s="72" t="str">
        <f t="array" ref="X54">INDEX(Summary!X:X,MATCH(NIFTY!$B54,Summary!$B:$B,0))</f>
        <v/>
      </c>
      <c r="Y54" s="81">
        <v>65.0</v>
      </c>
      <c r="Z54" s="81">
        <v>60.0</v>
      </c>
    </row>
    <row r="55" ht="15.75" customHeight="1">
      <c r="B55" s="73" t="str">
        <f>HYPERLINK("C:\Users\Natik\Desktop\_\All Stock Work\Max Pain Analysis\Stocks\WIPRO - WIPRO LIMITED.xlsx","WIPRO")</f>
        <v>WIPRO</v>
      </c>
      <c r="C55" s="74" t="s">
        <v>450</v>
      </c>
      <c r="D55" s="75">
        <v>192.9</v>
      </c>
      <c r="E55" s="76">
        <v>198.4</v>
      </c>
      <c r="F55" s="76">
        <v>202.95</v>
      </c>
      <c r="G55" s="76">
        <v>195.05</v>
      </c>
      <c r="H55" s="76">
        <v>196.7</v>
      </c>
      <c r="I55" s="77">
        <v>196.6</v>
      </c>
      <c r="J55" s="78" t="s">
        <v>668</v>
      </c>
      <c r="K55" s="79"/>
      <c r="L55" s="75">
        <v>196.3</v>
      </c>
      <c r="M55" s="76">
        <v>197.15</v>
      </c>
      <c r="N55" s="80">
        <v>192.5</v>
      </c>
      <c r="O55" s="79"/>
      <c r="P55" s="81">
        <v>195.0</v>
      </c>
      <c r="Q55" s="81">
        <v>186.7489622213695</v>
      </c>
      <c r="R55" s="81">
        <v>181.31178031158274</v>
      </c>
      <c r="S55" s="79"/>
      <c r="T55" s="79"/>
      <c r="U55" s="72"/>
      <c r="V55" s="81">
        <v>220.0</v>
      </c>
      <c r="W55" s="81">
        <v>200.0</v>
      </c>
      <c r="X55" s="72" t="str">
        <f t="array" ref="X55">INDEX(Summary!X:X,MATCH(NIFTY!$B55,Summary!$B:$B,0))</f>
        <v/>
      </c>
      <c r="Y55" s="81">
        <v>190.0</v>
      </c>
      <c r="Z55" s="81">
        <v>180.0</v>
      </c>
    </row>
    <row r="56" ht="15.75" customHeight="1">
      <c r="B56" s="90" t="str">
        <f>HYPERLINK("C:\Users\Natik\Desktop\_\All Stock Work\Max Pain Analysis\Stocks\ZEEL - ZEE ENTERTAINMENT ENTERPRISES LIMITED.xlsx","ZEEL")</f>
        <v>ZEEL</v>
      </c>
      <c r="C56" s="91" t="s">
        <v>453</v>
      </c>
      <c r="D56" s="92">
        <v>143.15</v>
      </c>
      <c r="E56" s="93">
        <v>145.1</v>
      </c>
      <c r="F56" s="93">
        <v>151.3</v>
      </c>
      <c r="G56" s="93">
        <v>145.0</v>
      </c>
      <c r="H56" s="93">
        <v>149.85</v>
      </c>
      <c r="I56" s="94">
        <v>149.7</v>
      </c>
      <c r="J56" s="95" t="s">
        <v>669</v>
      </c>
      <c r="K56" s="79"/>
      <c r="L56" s="92">
        <v>149.55</v>
      </c>
      <c r="M56" s="93">
        <v>149.5</v>
      </c>
      <c r="N56" s="96">
        <v>149.75</v>
      </c>
      <c r="O56" s="79"/>
      <c r="P56" s="97">
        <v>140.0</v>
      </c>
      <c r="Q56" s="97">
        <v>111.27501567777496</v>
      </c>
      <c r="R56" s="97">
        <v>108.71306497554684</v>
      </c>
      <c r="S56" s="79"/>
      <c r="T56" s="79"/>
      <c r="U56" s="72"/>
      <c r="V56" s="97">
        <v>160.0</v>
      </c>
      <c r="W56" s="97">
        <v>150.0</v>
      </c>
      <c r="X56" s="72" t="str">
        <f t="array" ref="X56">INDEX(Summary!X:X,MATCH(NIFTY!$B56,Summary!$B:$B,0))</f>
        <v/>
      </c>
      <c r="Y56" s="97">
        <v>100.0</v>
      </c>
      <c r="Z56" s="97">
        <v>120.0</v>
      </c>
    </row>
    <row r="57" ht="15.75" customHeight="1">
      <c r="D57" s="99" t="str">
        <f>SUM(D7:D56)</f>
        <v>91,916.20</v>
      </c>
    </row>
    <row r="58" ht="15.75" customHeight="1">
      <c r="D58" t="str">
        <f>D57/75</f>
        <v>1225.549333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D5:J5"/>
    <mergeCell ref="L5:N5"/>
    <mergeCell ref="V5:W5"/>
    <mergeCell ref="Y5:Z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7.29"/>
    <col customWidth="1" min="3" max="3" width="34.43"/>
    <col customWidth="1" min="4" max="4" width="0.86"/>
    <col customWidth="1" min="5" max="5" width="14.86"/>
    <col customWidth="1" min="6" max="6" width="9.57"/>
    <col customWidth="1" min="7" max="7" width="9.14"/>
    <col customWidth="1" min="8" max="8" width="9.57"/>
    <col customWidth="1" min="9" max="10" width="13.86"/>
    <col customWidth="1" min="11" max="11" width="15.71"/>
    <col customWidth="1" min="12" max="12" width="15.43"/>
    <col customWidth="1" min="13" max="13" width="0.86"/>
    <col customWidth="1" min="14" max="14" width="14.57"/>
    <col customWidth="1" min="15" max="15" width="13.0"/>
    <col customWidth="1" min="16" max="16" width="20.29"/>
    <col customWidth="1" min="17" max="17" width="0.86"/>
    <col customWidth="1" min="18" max="18" width="13.14"/>
    <col customWidth="1" min="19" max="23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8" t="s">
        <v>1</v>
      </c>
      <c r="C2" s="8" t="s">
        <v>2</v>
      </c>
      <c r="D2" s="100"/>
      <c r="E2" s="101" t="s">
        <v>620</v>
      </c>
      <c r="F2" s="101" t="s">
        <v>621</v>
      </c>
      <c r="G2" s="101" t="s">
        <v>475</v>
      </c>
      <c r="H2" s="101" t="s">
        <v>476</v>
      </c>
      <c r="I2" s="101" t="s">
        <v>477</v>
      </c>
      <c r="J2" s="101" t="s">
        <v>478</v>
      </c>
      <c r="K2" s="101"/>
      <c r="L2" s="101" t="s">
        <v>622</v>
      </c>
      <c r="M2" s="6"/>
      <c r="N2" s="12" t="s">
        <v>670</v>
      </c>
      <c r="O2" s="13" t="s">
        <v>671</v>
      </c>
      <c r="P2" s="14" t="s">
        <v>7</v>
      </c>
      <c r="Q2" s="58"/>
      <c r="R2" s="14" t="s">
        <v>672</v>
      </c>
      <c r="S2" s="1"/>
      <c r="T2" s="1"/>
      <c r="U2" s="1"/>
      <c r="V2" s="1"/>
      <c r="W2" s="1"/>
    </row>
    <row r="3">
      <c r="A3" s="1"/>
      <c r="B3" s="15" t="s">
        <v>8</v>
      </c>
      <c r="C3" s="23" t="s">
        <v>10</v>
      </c>
      <c r="D3" s="102"/>
      <c r="E3" s="103">
        <v>288.5</v>
      </c>
      <c r="F3" s="103">
        <v>268.0</v>
      </c>
      <c r="G3" s="103">
        <v>274.4</v>
      </c>
      <c r="H3" s="103">
        <v>253.95</v>
      </c>
      <c r="I3" s="103" t="s">
        <v>524</v>
      </c>
      <c r="J3" s="103">
        <v>269.65</v>
      </c>
      <c r="K3" s="103" t="s">
        <v>673</v>
      </c>
      <c r="L3" s="103" t="str">
        <f t="shared" ref="L3:L15" si="1">IFERROR(VALUE(K3),K3)</f>
        <v>10,57,33,609</v>
      </c>
      <c r="M3" s="6"/>
      <c r="N3" s="27">
        <v>1.0</v>
      </c>
      <c r="O3" s="28" t="s">
        <v>674</v>
      </c>
      <c r="P3" s="29">
        <v>110714.27</v>
      </c>
      <c r="Q3" s="6"/>
      <c r="R3" s="104">
        <v>0.1059</v>
      </c>
      <c r="S3" s="1"/>
      <c r="T3" s="1"/>
      <c r="U3" s="1"/>
      <c r="V3" s="1"/>
      <c r="W3" s="1"/>
    </row>
    <row r="4">
      <c r="A4" s="1"/>
      <c r="B4" s="15" t="s">
        <v>14</v>
      </c>
      <c r="C4" s="23" t="s">
        <v>16</v>
      </c>
      <c r="D4" s="102"/>
      <c r="E4" s="103">
        <v>73.65</v>
      </c>
      <c r="F4" s="103">
        <v>69.8</v>
      </c>
      <c r="G4" s="103">
        <v>72.65</v>
      </c>
      <c r="H4" s="103">
        <v>68.75</v>
      </c>
      <c r="I4" s="103" t="s">
        <v>524</v>
      </c>
      <c r="J4" s="103">
        <v>71.9</v>
      </c>
      <c r="K4" s="103" t="s">
        <v>675</v>
      </c>
      <c r="L4" s="103" t="str">
        <f t="shared" si="1"/>
        <v>2,26,84,083</v>
      </c>
      <c r="M4" s="6"/>
      <c r="N4" s="27">
        <v>2.0</v>
      </c>
      <c r="O4" s="28">
        <v>8847.92</v>
      </c>
      <c r="P4" s="29">
        <v>4423.96</v>
      </c>
      <c r="Q4" s="6"/>
      <c r="R4" s="104">
        <v>0.0102</v>
      </c>
      <c r="S4" s="1"/>
      <c r="T4" s="1"/>
      <c r="U4" s="1"/>
      <c r="V4" s="1"/>
      <c r="W4" s="1"/>
    </row>
    <row r="5">
      <c r="A5" s="1"/>
      <c r="B5" s="15" t="s">
        <v>18</v>
      </c>
      <c r="C5" s="23" t="s">
        <v>20</v>
      </c>
      <c r="D5" s="102"/>
      <c r="E5" s="103">
        <v>45.0</v>
      </c>
      <c r="F5" s="103">
        <v>41.65</v>
      </c>
      <c r="G5" s="103">
        <v>43.2</v>
      </c>
      <c r="H5" s="103">
        <v>40.95</v>
      </c>
      <c r="I5" s="103" t="s">
        <v>524</v>
      </c>
      <c r="J5" s="103">
        <v>42.35</v>
      </c>
      <c r="K5" s="103" t="s">
        <v>676</v>
      </c>
      <c r="L5" s="103" t="str">
        <f t="shared" si="1"/>
        <v>2,31,36,944</v>
      </c>
      <c r="M5" s="6"/>
      <c r="N5" s="27">
        <v>2.0</v>
      </c>
      <c r="O5" s="28">
        <v>4547.86</v>
      </c>
      <c r="P5" s="29">
        <v>2273.93</v>
      </c>
      <c r="Q5" s="6"/>
      <c r="R5" s="104"/>
      <c r="S5" s="1"/>
      <c r="T5" s="1"/>
      <c r="U5" s="1"/>
      <c r="V5" s="1"/>
      <c r="W5" s="1"/>
    </row>
    <row r="6">
      <c r="A6" s="1"/>
      <c r="B6" s="15" t="s">
        <v>22</v>
      </c>
      <c r="C6" s="23" t="s">
        <v>24</v>
      </c>
      <c r="D6" s="102"/>
      <c r="E6" s="103">
        <v>1151.35</v>
      </c>
      <c r="F6" s="103">
        <v>1125.0</v>
      </c>
      <c r="G6" s="103">
        <v>1140.9</v>
      </c>
      <c r="H6" s="103">
        <v>1101.0</v>
      </c>
      <c r="I6" s="103" t="s">
        <v>524</v>
      </c>
      <c r="J6" s="103">
        <v>1135.1</v>
      </c>
      <c r="K6" s="103" t="s">
        <v>677</v>
      </c>
      <c r="L6" s="103" t="str">
        <f t="shared" si="1"/>
        <v>1,14,66,123</v>
      </c>
      <c r="M6" s="6"/>
      <c r="N6" s="27">
        <v>1.0</v>
      </c>
      <c r="O6" s="28" t="s">
        <v>678</v>
      </c>
      <c r="P6" s="29">
        <v>498041.11</v>
      </c>
      <c r="Q6" s="6"/>
      <c r="R6" s="104">
        <v>0.295</v>
      </c>
      <c r="S6" s="1"/>
      <c r="T6" s="1"/>
      <c r="U6" s="1"/>
      <c r="V6" s="1"/>
      <c r="W6" s="1"/>
    </row>
    <row r="7">
      <c r="A7" s="1"/>
      <c r="B7" s="15" t="s">
        <v>25</v>
      </c>
      <c r="C7" s="23" t="s">
        <v>27</v>
      </c>
      <c r="D7" s="102"/>
      <c r="E7" s="103">
        <v>504.5</v>
      </c>
      <c r="F7" s="103">
        <v>485.0</v>
      </c>
      <c r="G7" s="103">
        <v>496.8</v>
      </c>
      <c r="H7" s="103">
        <v>477.3</v>
      </c>
      <c r="I7" s="103" t="s">
        <v>524</v>
      </c>
      <c r="J7" s="103">
        <v>485.2</v>
      </c>
      <c r="K7" s="103">
        <v>3.084307E7</v>
      </c>
      <c r="L7" s="103" t="str">
        <f t="shared" si="1"/>
        <v>30,843,070.00</v>
      </c>
      <c r="M7" s="6"/>
      <c r="N7" s="27">
        <v>2.0</v>
      </c>
      <c r="O7" s="28" t="s">
        <v>679</v>
      </c>
      <c r="P7" s="29">
        <v>163149.785</v>
      </c>
      <c r="Q7" s="6"/>
      <c r="R7" s="104">
        <v>0.1887</v>
      </c>
      <c r="S7" s="1"/>
      <c r="T7" s="1"/>
      <c r="U7" s="1"/>
      <c r="V7" s="1"/>
      <c r="W7" s="1"/>
    </row>
    <row r="8">
      <c r="A8" s="1"/>
      <c r="B8" s="15" t="s">
        <v>32</v>
      </c>
      <c r="C8" s="23" t="s">
        <v>34</v>
      </c>
      <c r="D8" s="102"/>
      <c r="E8" s="103">
        <v>1651.35</v>
      </c>
      <c r="F8" s="103">
        <v>1605.2</v>
      </c>
      <c r="G8" s="103">
        <v>1644.0</v>
      </c>
      <c r="H8" s="103">
        <v>1598.2</v>
      </c>
      <c r="I8" s="103" t="s">
        <v>524</v>
      </c>
      <c r="J8" s="103">
        <v>1631.9</v>
      </c>
      <c r="K8" s="103" t="s">
        <v>680</v>
      </c>
      <c r="L8" s="103" t="str">
        <f t="shared" si="1"/>
        <v>35,41,394</v>
      </c>
      <c r="M8" s="6"/>
      <c r="N8" s="27">
        <v>5.0</v>
      </c>
      <c r="O8" s="28" t="s">
        <v>681</v>
      </c>
      <c r="P8" s="29">
        <v>44173.044</v>
      </c>
      <c r="Q8" s="6"/>
      <c r="R8" s="104">
        <v>0.1328</v>
      </c>
      <c r="S8" s="1"/>
      <c r="T8" s="1"/>
      <c r="U8" s="1"/>
      <c r="V8" s="1"/>
      <c r="W8" s="1"/>
    </row>
    <row r="9">
      <c r="A9" s="1"/>
      <c r="B9" s="15" t="s">
        <v>29</v>
      </c>
      <c r="C9" s="16" t="s">
        <v>31</v>
      </c>
      <c r="D9" s="102"/>
      <c r="E9" s="105">
        <v>677.9</v>
      </c>
      <c r="F9" s="105">
        <v>650.0</v>
      </c>
      <c r="G9" s="105">
        <v>660.8</v>
      </c>
      <c r="H9" s="105">
        <v>641.05</v>
      </c>
      <c r="I9" s="105" t="s">
        <v>524</v>
      </c>
      <c r="J9" s="105">
        <v>658.4</v>
      </c>
      <c r="K9" s="105" t="s">
        <v>682</v>
      </c>
      <c r="L9" s="105" t="str">
        <f t="shared" si="1"/>
        <v>1,29,64,289</v>
      </c>
      <c r="M9" s="6"/>
      <c r="N9" s="20">
        <v>2.0</v>
      </c>
      <c r="O9" s="21" t="s">
        <v>683</v>
      </c>
      <c r="P9" s="29">
        <v>75500.61</v>
      </c>
      <c r="Q9" s="6"/>
      <c r="R9" s="106">
        <v>0.1448</v>
      </c>
      <c r="S9" s="1"/>
      <c r="T9" s="1"/>
      <c r="U9" s="1"/>
      <c r="V9" s="1"/>
      <c r="W9" s="1"/>
    </row>
    <row r="10">
      <c r="A10" s="1"/>
      <c r="B10" s="15" t="s">
        <v>35</v>
      </c>
      <c r="C10" s="23" t="s">
        <v>37</v>
      </c>
      <c r="D10" s="102"/>
      <c r="E10" s="103">
        <v>1075.0</v>
      </c>
      <c r="F10" s="103">
        <v>998.0</v>
      </c>
      <c r="G10" s="103">
        <v>1030.95</v>
      </c>
      <c r="H10" s="103">
        <v>913.8</v>
      </c>
      <c r="I10" s="103" t="s">
        <v>524</v>
      </c>
      <c r="J10" s="103">
        <v>1007.0</v>
      </c>
      <c r="K10" s="103" t="s">
        <v>684</v>
      </c>
      <c r="L10" s="103" t="str">
        <f t="shared" si="1"/>
        <v>1,68,03,117</v>
      </c>
      <c r="M10" s="6"/>
      <c r="N10" s="27">
        <v>10.0</v>
      </c>
      <c r="O10" s="28">
        <v>64817.91</v>
      </c>
      <c r="P10" s="29">
        <v>6481.791</v>
      </c>
      <c r="Q10" s="6"/>
      <c r="R10" s="104">
        <v>0.0699</v>
      </c>
      <c r="S10" s="1"/>
      <c r="T10" s="1"/>
      <c r="U10" s="1"/>
      <c r="V10" s="1"/>
      <c r="W10" s="1"/>
    </row>
    <row r="11">
      <c r="A11" s="1"/>
      <c r="B11" s="15" t="s">
        <v>38</v>
      </c>
      <c r="C11" s="23" t="s">
        <v>40</v>
      </c>
      <c r="D11" s="102"/>
      <c r="E11" s="103">
        <v>83.2</v>
      </c>
      <c r="F11" s="103">
        <v>78.7</v>
      </c>
      <c r="G11" s="103">
        <v>81.25</v>
      </c>
      <c r="H11" s="103">
        <v>76.3</v>
      </c>
      <c r="I11" s="103" t="s">
        <v>524</v>
      </c>
      <c r="J11" s="103">
        <v>80.05</v>
      </c>
      <c r="K11" s="103" t="s">
        <v>685</v>
      </c>
      <c r="L11" s="103" t="str">
        <f t="shared" si="1"/>
        <v>1,01,80,880</v>
      </c>
      <c r="M11" s="6"/>
      <c r="N11" s="27">
        <v>2.0</v>
      </c>
      <c r="O11" s="28">
        <v>16582.5</v>
      </c>
      <c r="P11" s="29">
        <v>8291.25</v>
      </c>
      <c r="Q11" s="6"/>
      <c r="R11" s="104">
        <v>0.0147</v>
      </c>
      <c r="S11" s="1"/>
      <c r="T11" s="1"/>
      <c r="U11" s="1"/>
      <c r="V11" s="1"/>
      <c r="W11" s="1"/>
    </row>
    <row r="12">
      <c r="A12" s="1"/>
      <c r="B12" s="15" t="s">
        <v>44</v>
      </c>
      <c r="C12" s="23" t="s">
        <v>46</v>
      </c>
      <c r="D12" s="102"/>
      <c r="E12" s="103">
        <v>301.4</v>
      </c>
      <c r="F12" s="103">
        <v>271.3</v>
      </c>
      <c r="G12" s="103">
        <v>275.0</v>
      </c>
      <c r="H12" s="103">
        <v>243.05</v>
      </c>
      <c r="I12" s="103" t="s">
        <v>524</v>
      </c>
      <c r="J12" s="103">
        <v>259.8</v>
      </c>
      <c r="K12" s="103" t="s">
        <v>686</v>
      </c>
      <c r="L12" s="103" t="str">
        <f t="shared" si="1"/>
        <v>3,70,83,748</v>
      </c>
      <c r="M12" s="6"/>
      <c r="N12" s="27">
        <v>10.0</v>
      </c>
      <c r="O12" s="28">
        <v>14279.94</v>
      </c>
      <c r="P12" s="29">
        <v>1427.9940000000001</v>
      </c>
      <c r="Q12" s="6"/>
      <c r="R12" s="104">
        <v>0.0114</v>
      </c>
      <c r="S12" s="1"/>
      <c r="T12" s="1"/>
      <c r="U12" s="1"/>
      <c r="V12" s="1"/>
      <c r="W12" s="1"/>
    </row>
    <row r="13">
      <c r="A13" s="1"/>
      <c r="B13" s="15" t="s">
        <v>41</v>
      </c>
      <c r="C13" s="23" t="s">
        <v>43</v>
      </c>
      <c r="D13" s="102"/>
      <c r="E13" s="103">
        <v>37.75</v>
      </c>
      <c r="F13" s="103">
        <v>35.0</v>
      </c>
      <c r="G13" s="103">
        <v>36.4</v>
      </c>
      <c r="H13" s="103">
        <v>34.55</v>
      </c>
      <c r="I13" s="103" t="s">
        <v>524</v>
      </c>
      <c r="J13" s="103">
        <v>36.4</v>
      </c>
      <c r="K13" s="103" t="s">
        <v>687</v>
      </c>
      <c r="L13" s="103" t="str">
        <f t="shared" si="1"/>
        <v>2,77,42,566</v>
      </c>
      <c r="M13" s="6"/>
      <c r="N13" s="27">
        <v>10.0</v>
      </c>
      <c r="O13" s="28">
        <v>7772.5</v>
      </c>
      <c r="P13" s="29">
        <v>777.25</v>
      </c>
      <c r="Q13" s="6"/>
      <c r="R13" s="104"/>
      <c r="S13" s="1"/>
      <c r="T13" s="1"/>
      <c r="U13" s="1"/>
      <c r="V13" s="1"/>
      <c r="W13" s="1"/>
    </row>
    <row r="14">
      <c r="A14" s="1"/>
      <c r="B14" s="47" t="s">
        <v>47</v>
      </c>
      <c r="C14" s="30" t="s">
        <v>49</v>
      </c>
      <c r="D14" s="47"/>
      <c r="E14" s="107">
        <v>36.8</v>
      </c>
      <c r="F14" s="107">
        <v>33.15</v>
      </c>
      <c r="G14" s="107">
        <v>33.15</v>
      </c>
      <c r="H14" s="107">
        <v>5.65</v>
      </c>
      <c r="I14" s="107" t="s">
        <v>524</v>
      </c>
      <c r="J14" s="107">
        <v>16.6</v>
      </c>
      <c r="K14" s="107" t="s">
        <v>688</v>
      </c>
      <c r="L14" s="107" t="str">
        <f t="shared" si="1"/>
        <v>1,25,94,02,839</v>
      </c>
      <c r="M14" s="6"/>
      <c r="N14" s="34">
        <v>2.0</v>
      </c>
      <c r="O14" s="35">
        <v>8165.59</v>
      </c>
      <c r="P14" s="36">
        <v>4082.795</v>
      </c>
      <c r="Q14" s="6"/>
      <c r="R14" s="108">
        <v>0.013</v>
      </c>
      <c r="S14" s="1"/>
      <c r="T14" s="1"/>
      <c r="U14" s="1"/>
      <c r="V14" s="1"/>
      <c r="W14" s="1"/>
    </row>
    <row r="15">
      <c r="A15" s="1"/>
      <c r="B15" s="7" t="s">
        <v>51</v>
      </c>
      <c r="C15" s="109" t="s">
        <v>53</v>
      </c>
      <c r="D15" s="7"/>
      <c r="E15" s="110">
        <v>139.1</v>
      </c>
      <c r="F15" s="110">
        <v>130.0</v>
      </c>
      <c r="G15" s="110">
        <v>132.7</v>
      </c>
      <c r="H15" s="110">
        <v>127.4</v>
      </c>
      <c r="I15" s="110" t="s">
        <v>524</v>
      </c>
      <c r="J15" s="110">
        <v>130.1</v>
      </c>
      <c r="K15" s="110" t="s">
        <v>689</v>
      </c>
      <c r="L15" s="110" t="str">
        <f t="shared" si="1"/>
        <v>82,67,355</v>
      </c>
      <c r="M15" s="6"/>
      <c r="N15" s="111">
        <v>10.0</v>
      </c>
      <c r="O15" s="112">
        <v>2866.11</v>
      </c>
      <c r="P15" s="113">
        <v>286.611</v>
      </c>
      <c r="Q15" s="6"/>
      <c r="R15" s="113"/>
      <c r="S15" s="1"/>
      <c r="T15" s="1"/>
      <c r="U15" s="1"/>
      <c r="V15" s="1"/>
      <c r="W15" s="1"/>
    </row>
    <row r="16">
      <c r="A16" s="1"/>
      <c r="B16" s="1"/>
      <c r="C16" s="1"/>
      <c r="D16" s="1"/>
      <c r="E16" s="6"/>
      <c r="F16" s="6"/>
      <c r="G16" s="6"/>
      <c r="H16" s="6"/>
      <c r="I16" s="6"/>
      <c r="J16" s="6"/>
      <c r="K16" s="6">
        <v>0.0</v>
      </c>
      <c r="L16" s="6" t="str">
        <f>SUM(L3:L13)</f>
        <v>30,843,070.00</v>
      </c>
      <c r="M16" s="6"/>
      <c r="N16" s="6"/>
      <c r="O16" s="6"/>
      <c r="P16" s="6" t="str">
        <f>SUM(P3:P14)</f>
        <v>919,337.79</v>
      </c>
      <c r="Q16" s="6"/>
      <c r="R16" s="6"/>
      <c r="S16" s="1"/>
      <c r="T16" s="1"/>
      <c r="U16" s="1"/>
      <c r="V16" s="1"/>
      <c r="W16" s="1"/>
    </row>
    <row r="17">
      <c r="A17" s="1"/>
      <c r="B17" s="1"/>
      <c r="C17" s="1"/>
      <c r="D17" s="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</row>
    <row r="18">
      <c r="A18" s="1"/>
      <c r="B18" s="114" t="s">
        <v>690</v>
      </c>
      <c r="C18" s="114" t="str">
        <f>E23</f>
        <v>4.390392309</v>
      </c>
      <c r="D18" s="1"/>
      <c r="E18" s="6" t="str">
        <f>SUMPRODUCT(E$3:E$14,$P$3:$P$14)/SUM($O$3:$O$14)</f>
        <v>6,563.19</v>
      </c>
      <c r="F18" s="6"/>
      <c r="G18" s="6"/>
      <c r="H18" s="6"/>
      <c r="I18" s="6" t="str">
        <f>SUMPRODUCT(I$3:I$14,$O$3:$O$14)/SUM($O$3:$O$14)</f>
        <v>0.00</v>
      </c>
      <c r="J18" s="6" t="str">
        <f>SUMPRODUCT(J$3:J$14,$P$3:$P$14)/SUM($O$3:$O$14)</f>
        <v>6,432.94</v>
      </c>
      <c r="K18" s="6"/>
      <c r="L18" s="115" t="str">
        <f>L16/(P16*1000000)</f>
        <v>0.0033549%</v>
      </c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</row>
    <row r="19">
      <c r="A19" s="1"/>
      <c r="B19" s="1"/>
      <c r="C19" s="1"/>
      <c r="D19" s="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</row>
    <row r="20">
      <c r="A20" s="116"/>
      <c r="B20" s="117" t="s">
        <v>691</v>
      </c>
      <c r="C20" s="63"/>
      <c r="D20" s="117"/>
      <c r="E20" s="118">
        <v>28815.0</v>
      </c>
      <c r="F20" s="118"/>
      <c r="G20" s="118"/>
      <c r="H20" s="118"/>
      <c r="I20" s="118" t="str">
        <f t="shared" ref="I20:J20" si="2">I18*$C$18</f>
        <v>0.00</v>
      </c>
      <c r="J20" s="118" t="str">
        <f t="shared" si="2"/>
        <v>28,243.12</v>
      </c>
      <c r="K20" s="118"/>
      <c r="L20" s="118" t="str">
        <f>L18*$C$18</f>
        <v>0.00</v>
      </c>
      <c r="M20" s="119"/>
      <c r="N20" s="120"/>
      <c r="O20" s="121"/>
      <c r="P20" s="122"/>
      <c r="Q20" s="119"/>
      <c r="R20" s="122"/>
      <c r="S20" s="116"/>
      <c r="T20" s="116"/>
      <c r="U20" s="116"/>
      <c r="V20" s="116"/>
      <c r="W20" s="116"/>
    </row>
    <row r="21" ht="15.75" customHeight="1">
      <c r="A21" s="1"/>
      <c r="B21" s="1"/>
      <c r="C21" s="1"/>
      <c r="D21" s="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</row>
    <row r="22" ht="15.75" customHeight="1">
      <c r="A22" s="1"/>
      <c r="B22" s="1"/>
      <c r="C22" s="1"/>
      <c r="D22" s="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</row>
    <row r="23" ht="15.75" customHeight="1">
      <c r="A23" s="1"/>
      <c r="B23" s="1"/>
      <c r="C23" s="1"/>
      <c r="D23" s="1"/>
      <c r="E23" s="1" t="str">
        <f>E20/E18</f>
        <v>4.390392309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1"/>
      <c r="C28" s="1"/>
      <c r="D28" s="1"/>
      <c r="E28" s="1"/>
      <c r="F28" s="1"/>
      <c r="G28" s="1" t="str">
        <f>29147.15+1039.85</f>
        <v>30187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</sheetData>
  <mergeCells count="1">
    <mergeCell ref="B20:C20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Data</vt:lpstr>
      <vt:lpstr>Summary</vt:lpstr>
      <vt:lpstr>NIFTY</vt:lpstr>
      <vt:lpstr>BANKNIFTY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2019-12-06T18:38:51Z</dcterms:created>
  <dc:creator>Ojas</dc:creator>
  <cp:lastModifiedBy>Ojas</cp:lastModifiedBy>
  <dcterms:modified xsi:type="dcterms:W3CDTF">2020-04-12T12:34:29Z</dcterms:modified>
</cp:coreProperties>
</file>