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2d5ce3eedc922/Documents/Financial Modelling/"/>
    </mc:Choice>
  </mc:AlternateContent>
  <xr:revisionPtr revIDLastSave="260" documentId="13_ncr:1_{8A5DBA91-23E0-4EB9-A6C9-98FE79C629F8}" xr6:coauthVersionLast="47" xr6:coauthVersionMax="47" xr10:uidLastSave="{88440FFD-1015-44C6-A136-0CBAFCD28949}"/>
  <bookViews>
    <workbookView xWindow="-98" yWindow="-98" windowWidth="21795" windowHeight="13695" activeTab="1" xr2:uid="{D4886810-D9CC-4231-AA87-2302A306BB27}"/>
  </bookViews>
  <sheets>
    <sheet name="Financials&gt;" sheetId="1" r:id="rId1"/>
    <sheet name="HistoricalFS" sheetId="3" r:id="rId2"/>
    <sheet name="Ratio Analysis" sheetId="6" r:id="rId3"/>
    <sheet name="Forecasting" sheetId="9" r:id="rId4"/>
    <sheet name="Common Size Statement" sheetId="8" r:id="rId5"/>
    <sheet name="Peer Analysis" sheetId="7" r:id="rId6"/>
    <sheet name="Data&gt;" sheetId="4" r:id="rId7"/>
    <sheet name="Data Sheet" sheetId="2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9" l="1"/>
  <c r="N17" i="9"/>
  <c r="N18" i="9"/>
  <c r="N19" i="9"/>
  <c r="N20" i="9"/>
  <c r="N21" i="9"/>
  <c r="N15" i="9"/>
  <c r="L3" i="9"/>
  <c r="O4" i="9"/>
  <c r="N5" i="9" a="1"/>
  <c r="N5" i="9" s="1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M5" i="9"/>
  <c r="H5" i="9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M6" i="9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L6" i="9"/>
  <c r="L7" i="9" s="1"/>
  <c r="L8" i="9" s="1"/>
  <c r="L9" i="9" s="1"/>
  <c r="L10" i="9" s="1"/>
  <c r="L11" i="9" s="1"/>
  <c r="L12" i="9" s="1"/>
  <c r="L13" i="9" s="1"/>
  <c r="L14" i="9" s="1"/>
  <c r="L15" i="9" s="1"/>
  <c r="G3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6" i="9"/>
  <c r="I21" i="9"/>
  <c r="I20" i="9"/>
  <c r="I19" i="9"/>
  <c r="I18" i="9"/>
  <c r="I17" i="9"/>
  <c r="I16" i="9"/>
  <c r="I15" i="9"/>
  <c r="I5" i="9" a="1"/>
  <c r="I5" i="9"/>
  <c r="I6" i="9"/>
  <c r="I7" i="9"/>
  <c r="I8" i="9"/>
  <c r="I9" i="9"/>
  <c r="I10" i="9"/>
  <c r="I11" i="9"/>
  <c r="I12" i="9"/>
  <c r="I13" i="9"/>
  <c r="I14" i="9"/>
  <c r="G7" i="9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6" i="9"/>
  <c r="B3" i="9"/>
  <c r="E21" i="9"/>
  <c r="D21" i="9"/>
  <c r="D16" i="9"/>
  <c r="D17" i="9"/>
  <c r="E17" i="9" s="1"/>
  <c r="D18" i="9"/>
  <c r="D19" i="9"/>
  <c r="D20" i="9"/>
  <c r="D15" i="9"/>
  <c r="E7" i="9"/>
  <c r="E8" i="9"/>
  <c r="E9" i="9"/>
  <c r="E10" i="9"/>
  <c r="E11" i="9"/>
  <c r="E12" i="9"/>
  <c r="E13" i="9"/>
  <c r="E14" i="9"/>
  <c r="E18" i="9"/>
  <c r="E19" i="9"/>
  <c r="E20" i="9"/>
  <c r="E6" i="9"/>
  <c r="D5" i="9" a="1"/>
  <c r="D5" i="9" s="1"/>
  <c r="B17" i="9"/>
  <c r="B18" i="9" s="1"/>
  <c r="B19" i="9" s="1"/>
  <c r="B20" i="9" s="1"/>
  <c r="B21" i="9" s="1"/>
  <c r="B7" i="9"/>
  <c r="B8" i="9" s="1"/>
  <c r="B9" i="9" s="1"/>
  <c r="B10" i="9" s="1"/>
  <c r="B11" i="9" s="1"/>
  <c r="B12" i="9" s="1"/>
  <c r="B13" i="9" s="1"/>
  <c r="B14" i="9" s="1"/>
  <c r="B15" i="9" s="1"/>
  <c r="B16" i="9" s="1"/>
  <c r="B6" i="9"/>
  <c r="O12" i="6"/>
  <c r="O14" i="6"/>
  <c r="O16" i="6"/>
  <c r="O33" i="6"/>
  <c r="N25" i="6"/>
  <c r="N5" i="6"/>
  <c r="D41" i="6"/>
  <c r="E41" i="6"/>
  <c r="F41" i="6"/>
  <c r="G41" i="6"/>
  <c r="H41" i="6"/>
  <c r="I41" i="6"/>
  <c r="J41" i="6"/>
  <c r="K41" i="6"/>
  <c r="L41" i="6"/>
  <c r="D42" i="6"/>
  <c r="E42" i="6"/>
  <c r="F42" i="6"/>
  <c r="G42" i="6"/>
  <c r="H42" i="6"/>
  <c r="I42" i="6"/>
  <c r="J42" i="6"/>
  <c r="K42" i="6"/>
  <c r="L42" i="6"/>
  <c r="D43" i="6"/>
  <c r="E43" i="6"/>
  <c r="F43" i="6"/>
  <c r="G43" i="6"/>
  <c r="H43" i="6"/>
  <c r="I43" i="6"/>
  <c r="J43" i="6"/>
  <c r="K43" i="6"/>
  <c r="L43" i="6"/>
  <c r="C43" i="6"/>
  <c r="O43" i="6" s="1"/>
  <c r="C42" i="6"/>
  <c r="O42" i="6" s="1"/>
  <c r="C41" i="6"/>
  <c r="O41" i="6" s="1"/>
  <c r="D29" i="6"/>
  <c r="D36" i="6" s="1"/>
  <c r="E29" i="6"/>
  <c r="E36" i="6" s="1"/>
  <c r="F29" i="6"/>
  <c r="F36" i="6" s="1"/>
  <c r="G29" i="6"/>
  <c r="G36" i="6" s="1"/>
  <c r="H29" i="6"/>
  <c r="H36" i="6" s="1"/>
  <c r="I29" i="6"/>
  <c r="I36" i="6" s="1"/>
  <c r="J29" i="6"/>
  <c r="J36" i="6" s="1"/>
  <c r="K29" i="6"/>
  <c r="K36" i="6" s="1"/>
  <c r="L29" i="6"/>
  <c r="L36" i="6" s="1"/>
  <c r="D30" i="6"/>
  <c r="D37" i="6" s="1"/>
  <c r="E30" i="6"/>
  <c r="E37" i="6" s="1"/>
  <c r="F30" i="6"/>
  <c r="F37" i="6" s="1"/>
  <c r="G30" i="6"/>
  <c r="G37" i="6" s="1"/>
  <c r="H30" i="6"/>
  <c r="H37" i="6" s="1"/>
  <c r="H39" i="6" s="1"/>
  <c r="I30" i="6"/>
  <c r="I37" i="6" s="1"/>
  <c r="I39" i="6" s="1"/>
  <c r="J30" i="6"/>
  <c r="J37" i="6" s="1"/>
  <c r="J39" i="6" s="1"/>
  <c r="K30" i="6"/>
  <c r="L30" i="6"/>
  <c r="D31" i="6"/>
  <c r="O31" i="6" s="1"/>
  <c r="E31" i="6"/>
  <c r="E38" i="6" s="1"/>
  <c r="F31" i="6"/>
  <c r="F38" i="6" s="1"/>
  <c r="G31" i="6"/>
  <c r="G38" i="6" s="1"/>
  <c r="H31" i="6"/>
  <c r="H38" i="6" s="1"/>
  <c r="I31" i="6"/>
  <c r="I38" i="6" s="1"/>
  <c r="J31" i="6"/>
  <c r="J38" i="6" s="1"/>
  <c r="K31" i="6"/>
  <c r="K38" i="6" s="1"/>
  <c r="L31" i="6"/>
  <c r="L38" i="6" s="1"/>
  <c r="D32" i="6"/>
  <c r="E32" i="6"/>
  <c r="F32" i="6"/>
  <c r="G32" i="6"/>
  <c r="H32" i="6"/>
  <c r="I32" i="6"/>
  <c r="O32" i="6" s="1"/>
  <c r="J32" i="6"/>
  <c r="K32" i="6"/>
  <c r="L32" i="6"/>
  <c r="D33" i="6"/>
  <c r="E33" i="6"/>
  <c r="F33" i="6"/>
  <c r="G33" i="6"/>
  <c r="H33" i="6"/>
  <c r="I33" i="6"/>
  <c r="J33" i="6"/>
  <c r="N33" i="6" s="1"/>
  <c r="K33" i="6"/>
  <c r="L33" i="6"/>
  <c r="K37" i="6"/>
  <c r="L37" i="6"/>
  <c r="D38" i="6"/>
  <c r="C33" i="6"/>
  <c r="C32" i="6"/>
  <c r="N32" i="6" s="1"/>
  <c r="C31" i="6"/>
  <c r="C38" i="6" s="1"/>
  <c r="C30" i="6"/>
  <c r="N30" i="6" s="1"/>
  <c r="C29" i="6"/>
  <c r="O29" i="6" s="1"/>
  <c r="L27" i="6"/>
  <c r="K27" i="6"/>
  <c r="J27" i="6"/>
  <c r="I27" i="6"/>
  <c r="H27" i="6"/>
  <c r="G27" i="6"/>
  <c r="F27" i="6"/>
  <c r="E27" i="6"/>
  <c r="D27" i="6"/>
  <c r="L25" i="6"/>
  <c r="K25" i="6"/>
  <c r="J25" i="6"/>
  <c r="I25" i="6"/>
  <c r="H25" i="6"/>
  <c r="G25" i="6"/>
  <c r="F25" i="6"/>
  <c r="E25" i="6"/>
  <c r="D25" i="6"/>
  <c r="O25" i="6" s="1"/>
  <c r="L24" i="6"/>
  <c r="K24" i="6"/>
  <c r="J24" i="6"/>
  <c r="I24" i="6"/>
  <c r="N24" i="6" s="1"/>
  <c r="H24" i="6"/>
  <c r="G24" i="6"/>
  <c r="F24" i="6"/>
  <c r="E24" i="6"/>
  <c r="D24" i="6"/>
  <c r="L23" i="6"/>
  <c r="K23" i="6"/>
  <c r="J23" i="6"/>
  <c r="I23" i="6"/>
  <c r="H23" i="6"/>
  <c r="G23" i="6"/>
  <c r="F23" i="6"/>
  <c r="E23" i="6"/>
  <c r="D23" i="6"/>
  <c r="C27" i="6"/>
  <c r="O27" i="6" s="1"/>
  <c r="C23" i="6"/>
  <c r="O23" i="6" s="1"/>
  <c r="C25" i="6"/>
  <c r="C24" i="6"/>
  <c r="D14" i="6"/>
  <c r="E14" i="6"/>
  <c r="F14" i="6"/>
  <c r="G14" i="6"/>
  <c r="H14" i="6"/>
  <c r="I14" i="6"/>
  <c r="J14" i="6"/>
  <c r="K14" i="6"/>
  <c r="L14" i="6"/>
  <c r="C14" i="6"/>
  <c r="N14" i="6" s="1"/>
  <c r="C21" i="6"/>
  <c r="D20" i="6"/>
  <c r="O20" i="6" s="1"/>
  <c r="E20" i="6"/>
  <c r="F20" i="6"/>
  <c r="G20" i="6"/>
  <c r="H20" i="6"/>
  <c r="I20" i="6"/>
  <c r="J20" i="6"/>
  <c r="K20" i="6"/>
  <c r="L20" i="6"/>
  <c r="D19" i="6"/>
  <c r="E19" i="6"/>
  <c r="F19" i="6"/>
  <c r="G19" i="6"/>
  <c r="N19" i="6" s="1"/>
  <c r="H19" i="6"/>
  <c r="I19" i="6"/>
  <c r="J19" i="6"/>
  <c r="K19" i="6"/>
  <c r="L19" i="6"/>
  <c r="C20" i="6"/>
  <c r="C19" i="6"/>
  <c r="O19" i="6" s="1"/>
  <c r="D12" i="6"/>
  <c r="E12" i="6"/>
  <c r="F12" i="6"/>
  <c r="G12" i="6"/>
  <c r="H12" i="6"/>
  <c r="I12" i="6"/>
  <c r="J12" i="6"/>
  <c r="K12" i="6"/>
  <c r="L12" i="6"/>
  <c r="D15" i="6"/>
  <c r="D21" i="6" s="1"/>
  <c r="E15" i="6"/>
  <c r="E21" i="6" s="1"/>
  <c r="F15" i="6"/>
  <c r="F21" i="6" s="1"/>
  <c r="G15" i="6"/>
  <c r="G21" i="6" s="1"/>
  <c r="H15" i="6"/>
  <c r="H21" i="6" s="1"/>
  <c r="I15" i="6"/>
  <c r="I21" i="6" s="1"/>
  <c r="J15" i="6"/>
  <c r="J21" i="6" s="1"/>
  <c r="K15" i="6"/>
  <c r="K21" i="6" s="1"/>
  <c r="L15" i="6"/>
  <c r="L21" i="6" s="1"/>
  <c r="D16" i="6"/>
  <c r="E16" i="6"/>
  <c r="F16" i="6"/>
  <c r="G16" i="6"/>
  <c r="H16" i="6"/>
  <c r="N16" i="6" s="1"/>
  <c r="I16" i="6"/>
  <c r="J16" i="6"/>
  <c r="K16" i="6"/>
  <c r="L16" i="6"/>
  <c r="D17" i="6"/>
  <c r="N17" i="6" s="1"/>
  <c r="E17" i="6"/>
  <c r="F17" i="6"/>
  <c r="G17" i="6"/>
  <c r="H17" i="6"/>
  <c r="I17" i="6"/>
  <c r="J17" i="6"/>
  <c r="K17" i="6"/>
  <c r="L17" i="6"/>
  <c r="C17" i="6"/>
  <c r="O17" i="6" s="1"/>
  <c r="C16" i="6"/>
  <c r="C15" i="6"/>
  <c r="N15" i="6" s="1"/>
  <c r="C12" i="6"/>
  <c r="N12" i="6" s="1"/>
  <c r="F2" i="6"/>
  <c r="L10" i="6"/>
  <c r="K10" i="6"/>
  <c r="J10" i="6"/>
  <c r="I10" i="6"/>
  <c r="H10" i="6"/>
  <c r="G10" i="6"/>
  <c r="F10" i="6"/>
  <c r="E10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L6" i="6"/>
  <c r="K6" i="6"/>
  <c r="J6" i="6"/>
  <c r="I6" i="6"/>
  <c r="H6" i="6"/>
  <c r="G6" i="6"/>
  <c r="F6" i="6"/>
  <c r="E6" i="6"/>
  <c r="L5" i="6"/>
  <c r="K5" i="6"/>
  <c r="J5" i="6"/>
  <c r="I5" i="6"/>
  <c r="H5" i="6"/>
  <c r="G5" i="6"/>
  <c r="F5" i="6"/>
  <c r="E5" i="6"/>
  <c r="O5" i="6" s="1"/>
  <c r="D6" i="6"/>
  <c r="N6" i="6" s="1"/>
  <c r="D10" i="6"/>
  <c r="O10" i="6" s="1"/>
  <c r="D9" i="6"/>
  <c r="N9" i="6" s="1"/>
  <c r="D8" i="6"/>
  <c r="O8" i="6" s="1"/>
  <c r="D7" i="6"/>
  <c r="O7" i="6" s="1"/>
  <c r="D5" i="6"/>
  <c r="B2" i="1"/>
  <c r="L3" i="1"/>
  <c r="K3" i="1"/>
  <c r="J3" i="1"/>
  <c r="I3" i="1"/>
  <c r="H3" i="1"/>
  <c r="G3" i="1"/>
  <c r="F3" i="1"/>
  <c r="E3" i="1"/>
  <c r="D3" i="1"/>
  <c r="C3" i="1"/>
  <c r="B2" i="7"/>
  <c r="N13" i="9" l="1"/>
  <c r="N11" i="9"/>
  <c r="N10" i="9"/>
  <c r="N8" i="9"/>
  <c r="N9" i="9"/>
  <c r="O9" i="9" s="1"/>
  <c r="N7" i="9"/>
  <c r="N6" i="9"/>
  <c r="N14" i="9"/>
  <c r="N12" i="9"/>
  <c r="O11" i="9"/>
  <c r="O12" i="9"/>
  <c r="O6" i="9"/>
  <c r="L16" i="9"/>
  <c r="O8" i="9"/>
  <c r="E16" i="9"/>
  <c r="E15" i="9"/>
  <c r="O21" i="6"/>
  <c r="O38" i="6"/>
  <c r="N38" i="6"/>
  <c r="O15" i="6"/>
  <c r="N23" i="6"/>
  <c r="N8" i="6"/>
  <c r="O9" i="6"/>
  <c r="N7" i="6"/>
  <c r="O6" i="6"/>
  <c r="N43" i="6"/>
  <c r="O24" i="6"/>
  <c r="C36" i="6"/>
  <c r="N31" i="6"/>
  <c r="N41" i="6"/>
  <c r="F26" i="6"/>
  <c r="N29" i="6"/>
  <c r="G26" i="6"/>
  <c r="N27" i="6"/>
  <c r="N10" i="6"/>
  <c r="N21" i="6"/>
  <c r="N20" i="6"/>
  <c r="O30" i="6"/>
  <c r="G39" i="6"/>
  <c r="F39" i="6"/>
  <c r="E39" i="6"/>
  <c r="N42" i="6"/>
  <c r="C37" i="6"/>
  <c r="C26" i="6"/>
  <c r="L39" i="6"/>
  <c r="K39" i="6"/>
  <c r="D39" i="6"/>
  <c r="H26" i="6"/>
  <c r="J26" i="6"/>
  <c r="K26" i="6"/>
  <c r="D26" i="6"/>
  <c r="E26" i="6"/>
  <c r="I26" i="6"/>
  <c r="L26" i="6"/>
  <c r="L3" i="6"/>
  <c r="K3" i="6"/>
  <c r="J3" i="6"/>
  <c r="I3" i="6"/>
  <c r="H3" i="6"/>
  <c r="G3" i="6"/>
  <c r="F3" i="6"/>
  <c r="E3" i="6"/>
  <c r="D3" i="6"/>
  <c r="C3" i="6"/>
  <c r="O7" i="9" l="1"/>
  <c r="O10" i="9"/>
  <c r="O13" i="9"/>
  <c r="O14" i="9"/>
  <c r="O15" i="9"/>
  <c r="L17" i="9"/>
  <c r="O16" i="9"/>
  <c r="N26" i="6"/>
  <c r="O26" i="6"/>
  <c r="N36" i="6"/>
  <c r="O36" i="6"/>
  <c r="O37" i="6"/>
  <c r="N37" i="6"/>
  <c r="C39" i="6"/>
  <c r="L74" i="3"/>
  <c r="K74" i="3"/>
  <c r="J74" i="3"/>
  <c r="I74" i="3"/>
  <c r="H74" i="3"/>
  <c r="G74" i="3"/>
  <c r="F74" i="3"/>
  <c r="E74" i="3"/>
  <c r="D74" i="3"/>
  <c r="C74" i="3"/>
  <c r="L72" i="3"/>
  <c r="K72" i="3"/>
  <c r="J72" i="3"/>
  <c r="I72" i="3"/>
  <c r="H72" i="3"/>
  <c r="G72" i="3"/>
  <c r="F72" i="3"/>
  <c r="E72" i="3"/>
  <c r="D72" i="3"/>
  <c r="C72" i="3"/>
  <c r="L70" i="3"/>
  <c r="K70" i="3"/>
  <c r="J70" i="3"/>
  <c r="I70" i="3"/>
  <c r="H70" i="3"/>
  <c r="G70" i="3"/>
  <c r="F70" i="3"/>
  <c r="E70" i="3"/>
  <c r="D70" i="3"/>
  <c r="C70" i="3"/>
  <c r="L56" i="3"/>
  <c r="K56" i="3"/>
  <c r="J56" i="3"/>
  <c r="I56" i="3"/>
  <c r="H56" i="3"/>
  <c r="G56" i="3"/>
  <c r="F56" i="3"/>
  <c r="E56" i="3"/>
  <c r="D56" i="3"/>
  <c r="C56" i="3"/>
  <c r="L61" i="3"/>
  <c r="K61" i="3"/>
  <c r="J61" i="3"/>
  <c r="I61" i="3"/>
  <c r="H61" i="3"/>
  <c r="G61" i="3"/>
  <c r="F61" i="3"/>
  <c r="E61" i="3"/>
  <c r="D61" i="3"/>
  <c r="L60" i="3"/>
  <c r="K60" i="3"/>
  <c r="J60" i="3"/>
  <c r="I60" i="3"/>
  <c r="H60" i="3"/>
  <c r="G60" i="3"/>
  <c r="F60" i="3"/>
  <c r="E60" i="3"/>
  <c r="D60" i="3"/>
  <c r="L59" i="3"/>
  <c r="K59" i="3"/>
  <c r="J59" i="3"/>
  <c r="I59" i="3"/>
  <c r="H59" i="3"/>
  <c r="G59" i="3"/>
  <c r="F59" i="3"/>
  <c r="E59" i="3"/>
  <c r="D59" i="3"/>
  <c r="C61" i="3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B15" i="2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O17" i="9" l="1"/>
  <c r="L18" i="9"/>
  <c r="O39" i="6"/>
  <c r="N39" i="6"/>
  <c r="H62" i="3"/>
  <c r="I57" i="3"/>
  <c r="G62" i="3"/>
  <c r="F62" i="3"/>
  <c r="E57" i="3"/>
  <c r="C62" i="3"/>
  <c r="I62" i="3"/>
  <c r="I64" i="3" s="1"/>
  <c r="I66" i="3" s="1"/>
  <c r="D62" i="3"/>
  <c r="J57" i="3"/>
  <c r="H57" i="3"/>
  <c r="J62" i="3"/>
  <c r="C57" i="3"/>
  <c r="K57" i="3"/>
  <c r="K62" i="3"/>
  <c r="K64" i="3" s="1"/>
  <c r="K66" i="3" s="1"/>
  <c r="F76" i="3"/>
  <c r="F57" i="3"/>
  <c r="D57" i="3"/>
  <c r="L57" i="3"/>
  <c r="E62" i="3"/>
  <c r="I76" i="3"/>
  <c r="L62" i="3"/>
  <c r="G57" i="3"/>
  <c r="J76" i="3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L19" i="9" l="1"/>
  <c r="O18" i="9"/>
  <c r="G76" i="3"/>
  <c r="J64" i="3"/>
  <c r="J66" i="3" s="1"/>
  <c r="H64" i="3"/>
  <c r="H66" i="3" s="1"/>
  <c r="E76" i="3"/>
  <c r="C64" i="3"/>
  <c r="C66" i="3" s="1"/>
  <c r="K76" i="3"/>
  <c r="H76" i="3"/>
  <c r="C76" i="3"/>
  <c r="L76" i="3"/>
  <c r="G64" i="3"/>
  <c r="G66" i="3" s="1"/>
  <c r="F64" i="3"/>
  <c r="F66" i="3" s="1"/>
  <c r="D76" i="3"/>
  <c r="L64" i="3"/>
  <c r="L66" i="3" s="1"/>
  <c r="D64" i="3"/>
  <c r="D66" i="3" s="1"/>
  <c r="E64" i="3"/>
  <c r="E66" i="3" s="1"/>
  <c r="J18" i="3"/>
  <c r="J19" i="3" s="1"/>
  <c r="C13" i="3"/>
  <c r="C27" i="3"/>
  <c r="C28" i="3" s="1"/>
  <c r="K18" i="3"/>
  <c r="K19" i="3" s="1"/>
  <c r="E18" i="3"/>
  <c r="E13" i="3"/>
  <c r="G18" i="3"/>
  <c r="G13" i="3"/>
  <c r="F18" i="3"/>
  <c r="F13" i="3"/>
  <c r="L18" i="3"/>
  <c r="L13" i="3"/>
  <c r="H18" i="3"/>
  <c r="H13" i="3"/>
  <c r="M31" i="3"/>
  <c r="M33" i="3"/>
  <c r="M28" i="3"/>
  <c r="I18" i="3"/>
  <c r="I13" i="3"/>
  <c r="D18" i="3"/>
  <c r="D13" i="3"/>
  <c r="L20" i="9" l="1"/>
  <c r="O19" i="9"/>
  <c r="J27" i="3"/>
  <c r="J28" i="3" s="1"/>
  <c r="C33" i="3"/>
  <c r="C34" i="3" s="1"/>
  <c r="C31" i="3"/>
  <c r="K27" i="3"/>
  <c r="K28" i="3" s="1"/>
  <c r="G19" i="3"/>
  <c r="G27" i="3"/>
  <c r="F19" i="3"/>
  <c r="F27" i="3"/>
  <c r="I19" i="3"/>
  <c r="I27" i="3"/>
  <c r="D19" i="3"/>
  <c r="D27" i="3"/>
  <c r="H19" i="3"/>
  <c r="H27" i="3"/>
  <c r="E19" i="3"/>
  <c r="E27" i="3"/>
  <c r="L19" i="3"/>
  <c r="L27" i="3"/>
  <c r="M34" i="3"/>
  <c r="M38" i="3"/>
  <c r="L21" i="9" l="1"/>
  <c r="O20" i="9"/>
  <c r="C38" i="3"/>
  <c r="J33" i="3"/>
  <c r="J38" i="3" s="1"/>
  <c r="J31" i="3"/>
  <c r="K33" i="3"/>
  <c r="K34" i="3" s="1"/>
  <c r="K31" i="3"/>
  <c r="M44" i="3"/>
  <c r="M42" i="3"/>
  <c r="C42" i="3"/>
  <c r="C44" i="3" s="1"/>
  <c r="L31" i="3"/>
  <c r="L33" i="3"/>
  <c r="L28" i="3"/>
  <c r="K38" i="3"/>
  <c r="E31" i="3"/>
  <c r="E33" i="3"/>
  <c r="E28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O21" i="9" l="1"/>
  <c r="J34" i="3"/>
  <c r="J44" i="3"/>
  <c r="J42" i="3"/>
  <c r="K39" i="3"/>
  <c r="K44" i="3"/>
  <c r="K42" i="3"/>
  <c r="F34" i="3"/>
  <c r="F38" i="3"/>
  <c r="I38" i="3"/>
  <c r="J39" i="3" s="1"/>
  <c r="I34" i="3"/>
  <c r="D38" i="3"/>
  <c r="D34" i="3"/>
  <c r="H34" i="3"/>
  <c r="H38" i="3"/>
  <c r="E34" i="3"/>
  <c r="E38" i="3"/>
  <c r="G34" i="3"/>
  <c r="G38" i="3"/>
  <c r="L38" i="3"/>
  <c r="L34" i="3"/>
  <c r="E39" i="3" l="1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 s="1"/>
  <c r="L39" i="3"/>
  <c r="L44" i="3"/>
  <c r="L42" i="3"/>
  <c r="M39" i="3"/>
  <c r="D39" i="3"/>
  <c r="D42" i="3"/>
  <c r="D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<sst xmlns="http://schemas.openxmlformats.org/spreadsheetml/2006/main" count="171" uniqueCount="131">
  <si>
    <t>COMPANY NAME</t>
  </si>
  <si>
    <t>HINDUSTAN PETROLEUM CORPORATION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</si>
  <si>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</si>
  <si>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</si>
  <si>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</si>
  <si>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</si>
  <si>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</si>
  <si>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</si>
  <si>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</si>
  <si>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</si>
  <si>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</si>
  <si>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</si>
  <si>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</si>
  <si>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</si>
  <si>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</si>
  <si>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</si>
  <si>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</si>
  <si>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</si>
  <si>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</si>
  <si>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</si>
  <si>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</si>
  <si>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</si>
  <si>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</si>
  <si>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</si>
  <si>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</si>
  <si>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</si>
  <si>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</si>
  <si>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</si>
  <si>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</si>
  <si>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</si>
  <si>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</si>
  <si>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</si>
  <si>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</si>
  <si>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</si>
  <si>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</si>
  <si>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</si>
  <si>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</si>
  <si>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</si>
  <si>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</si>
  <si>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</si>
  <si>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</si>
  <si>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</si>
  <si>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</si>
  <si>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</si>
  <si>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</si>
  <si>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</si>
  <si>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</si>
  <si>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</si>
  <si>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</si>
  <si>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</si>
  <si>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</si>
  <si>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</si>
  <si>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</si>
  <si>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</si>
  <si>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</si>
  <si>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</si>
  <si>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</si>
  <si>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</si>
  <si>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</si>
  <si>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</si>
  <si>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</si>
  <si>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</si>
  <si>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</si>
  <si>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</si>
  <si>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</si>
  <si>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</si>
  <si>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</si>
  <si>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</si>
  <si>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</si>
  <si>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</si>
  <si>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</si>
  <si>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</si>
  <si>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</si>
  <si>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</si>
  <si>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</si>
  <si>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</si>
  <si>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</si>
  <si>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</si>
  <si>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</si>
  <si>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</si>
  <si>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</si>
  <si>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</si>
  <si>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</si>
  <si>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</si>
  <si>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</si>
  <si>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</si>
  <si>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</si>
  <si>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</si>
  <si>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</si>
  <si>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</si>
  <si>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</si>
  <si>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</si>
  <si>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</si>
  <si>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</si>
  <si>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</si>
  <si>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</si>
  <si>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GrossMargin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</si>
  <si>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</si>
  <si>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</si>
  <si>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</si>
  <si>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</si>
  <si>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</si>
  <si>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</si>
  <si>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</si>
  <si>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Operating Margin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</si>
  <si>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</si>
  <si>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</si>
  <si>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</si>
  <si>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</si>
  <si>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</si>
  <si>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</si>
  <si>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</si>
  <si>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</si>
  <si>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</si>
  <si>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</si>
  <si>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</si>
  <si>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</si>
  <si>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Cash Conversion Cycle</t>
  </si>
  <si>
    <t>Return on Equity%</t>
  </si>
  <si>
    <t>Return on Capital Employed</t>
  </si>
  <si>
    <t>Ratios</t>
  </si>
  <si>
    <t>CFO/Sales</t>
  </si>
  <si>
    <t>CFO/Total Assets</t>
  </si>
  <si>
    <t>CFO/Total Debt</t>
  </si>
  <si>
    <t>Mean</t>
  </si>
  <si>
    <t>Median</t>
  </si>
  <si>
    <t>Year Weight</t>
  </si>
  <si>
    <t>Year</t>
  </si>
  <si>
    <t>EBIDTA</t>
  </si>
  <si>
    <t>EBIDTA GRWOTH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</si>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</sst>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0.00&quot;x&quot;"/>
    <numFmt numFmtId="169" formatCode="0&quot; DAYS&quot;"/>
    <numFmt numFmtId="170" formatCode="0&quot; x&quot;"/>
    <numFmt numFmtId="171" formatCode="yyyy"/>
    <numFmt numFmtId="172" formatCode="yyyy&quot;A&quot;"/>
    <numFmt numFmtId="173" formatCode="yyyy&quot;E&quot;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54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0" fontId="2" fillId="4" borderId="0" xfId="0" applyFont="1" applyFill="1" applyAlignment="1">
      <alignment horizontal="center"/>
    </xf>
    <xf numFmtId="0" fontId="3" fillId="0" borderId="1" xfId="0" applyFont="1" applyBorder="1"/>
    <xf numFmtId="167" fontId="3" fillId="0" borderId="1" xfId="0" applyNumberFormat="1" applyFont="1" applyBorder="1"/>
    <xf numFmtId="0" fontId="0" fillId="0" borderId="1" xfId="0" applyBorder="1"/>
    <xf numFmtId="166" fontId="3" fillId="0" borderId="1" xfId="0" applyNumberFormat="1" applyFont="1" applyBorder="1"/>
    <xf numFmtId="0" fontId="3" fillId="0" borderId="2" xfId="0" applyFont="1" applyBorder="1"/>
    <xf numFmtId="166" fontId="3" fillId="0" borderId="2" xfId="0" applyNumberFormat="1" applyFont="1" applyBorder="1"/>
    <xf numFmtId="9" fontId="0" fillId="0" borderId="0" xfId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2" fillId="4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9" fillId="6" borderId="0" xfId="0" applyFont="1" applyFill="1"/>
    <xf numFmtId="171" fontId="9" fillId="6" borderId="0" xfId="0" applyNumberFormat="1" applyFont="1" applyFill="1"/>
    <xf numFmtId="171" fontId="0" fillId="0" borderId="0" xfId="0" applyNumberFormat="1"/>
    <xf numFmtId="172" fontId="0" fillId="0" borderId="0" xfId="0" applyNumberFormat="1"/>
    <xf numFmtId="1" fontId="0" fillId="0" borderId="0" xfId="0" applyNumberFormat="1"/>
    <xf numFmtId="10" fontId="0" fillId="0" borderId="0" xfId="0" applyNumberFormat="1"/>
    <xf numFmtId="0" fontId="0" fillId="7" borderId="0" xfId="0" applyFill="1"/>
    <xf numFmtId="173" fontId="0" fillId="7" borderId="0" xfId="0" applyNumberFormat="1" applyFill="1"/>
    <xf numFmtId="1" fontId="0" fillId="7" borderId="0" xfId="0" applyNumberFormat="1" applyFill="1"/>
    <xf numFmtId="10" fontId="0" fillId="7" borderId="0" xfId="0" applyNumberFormat="1" applyFill="1"/>
    <xf numFmtId="0" fontId="0" fillId="0" borderId="0" xfId="0" applyAlignment="1">
      <alignment horizontal="center"/>
    </xf>
    <xf numFmtId="10" fontId="0" fillId="7" borderId="0" xfId="1" applyNumberFormat="1" applyFont="1" applyFill="1"/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B2:L3"/>
  <sheetViews>
    <sheetView showGridLines="0" workbookViewId="0">
      <selection activeCell="C8" sqref="C8"/>
    </sheetView>
  </sheetViews>
  <sheetFormatPr defaultRowHeight="14.25" x14ac:dyDescent="0.45"/>
  <cols>
    <col min="1" max="1" width="1.73046875" customWidth="1"/>
  </cols>
  <sheetData>
    <row r="2" spans="2:12" x14ac:dyDescent="0.45">
      <c r="B2" s="39" t="str">
        <f>"Ratio Analysis - "&amp;'Data Sheet'!B1</f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x14ac:dyDescent="0.45">
      <c r="B3" s="11" t="s">
        <v>56</v>
      </c>
      <c r="C3" s="12">
        <f>'Data Sheet'!B16</f>
      </c>
      <c r="D3" s="12">
        <f>'Data Sheet'!C16</f>
      </c>
      <c r="E3" s="12">
        <f>'Data Sheet'!D16</f>
      </c>
      <c r="F3" s="12">
        <f>'Data Sheet'!E16</f>
      </c>
      <c r="G3" s="12">
        <f>'Data Sheet'!F16</f>
      </c>
      <c r="H3" s="12">
        <f>'Data Sheet'!G16</f>
      </c>
      <c r="I3" s="12">
        <f>'Data Sheet'!H16</f>
      </c>
      <c r="J3" s="12">
        <f>'Data Sheet'!I16</f>
      </c>
      <c r="K3" s="12">
        <f>'Data Sheet'!J16</f>
      </c>
      <c r="L3" s="12">
        <f>'Data Sheet'!K16</f>
      </c>
    </row>
  </sheetData>
  <mergeCells count="1"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76"/>
  <sheetViews>
    <sheetView showGridLines="0" tabSelected="1" workbookViewId="0">
      <pane ySplit="3" topLeftCell="A25" activePane="bottomLeft" state="frozen"/>
      <selection pane="bottomLeft" activeCell="B38" sqref="B38"/>
    </sheetView>
  </sheetViews>
  <sheetFormatPr defaultRowHeight="14.25" x14ac:dyDescent="0.45"/>
  <cols>
    <col min="1" max="1" width="1.86328125" customWidth="1"/>
    <col min="2" max="2" width="28.3984375" bestFit="1" customWidth="1"/>
    <col min="3" max="13" width="13" customWidth="1"/>
  </cols>
  <sheetData>
    <row r="2" spans="1:13" x14ac:dyDescent="0.45">
      <c r="B2" s="39" t="str">
        <f>"Historical Financial Statement - "&amp;'Data Sheet'!B1</f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45">
      <c r="B3" s="11" t="s">
        <v>56</v>
      </c>
      <c r="C3" s="12">
        <f>'Data Sheet'!B16</f>
      </c>
      <c r="D3" s="12">
        <f>'Data Sheet'!C16</f>
      </c>
      <c r="E3" s="12">
        <f>'Data Sheet'!D16</f>
      </c>
      <c r="F3" s="12">
        <f>'Data Sheet'!E16</f>
      </c>
      <c r="G3" s="12">
        <f>'Data Sheet'!F16</f>
      </c>
      <c r="H3" s="12">
        <f>'Data Sheet'!G16</f>
      </c>
      <c r="I3" s="12">
        <f>'Data Sheet'!H16</f>
      </c>
      <c r="J3" s="12">
        <f>'Data Sheet'!I16</f>
      </c>
      <c r="K3" s="12">
        <f>'Data Sheet'!J16</f>
      </c>
      <c r="L3" s="12">
        <f>'Data Sheet'!K16</f>
      </c>
      <c r="M3" s="13" t="s">
        <v>57</v>
      </c>
    </row>
    <row r="4" spans="1:13" x14ac:dyDescent="0.45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45">
      <c r="A5" t="s">
        <v>59</v>
      </c>
      <c r="B5" s="25" t="s">
        <v>58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45">
      <c r="B6" t="s">
        <v>12</v>
      </c>
      <c r="C6" s="15">
        <f>IFERROR('Data Sheet'!B17,0)</f>
      </c>
      <c r="D6" s="15">
        <f>IFERROR('Data Sheet'!C17,0)</f>
      </c>
      <c r="E6" s="15">
        <f>IFERROR('Data Sheet'!D17,0)</f>
      </c>
      <c r="F6" s="15">
        <f>IFERROR('Data Sheet'!E17,0)</f>
      </c>
      <c r="G6" s="15">
        <f>IFERROR('Data Sheet'!F17,0)</f>
      </c>
      <c r="H6" s="15">
        <f>IFERROR('Data Sheet'!G17,0)</f>
      </c>
      <c r="I6" s="15">
        <f>IFERROR('Data Sheet'!H17,0)</f>
      </c>
      <c r="J6" s="15">
        <f>IFERROR('Data Sheet'!I17,0)</f>
      </c>
      <c r="K6" s="15">
        <f>IFERROR('Data Sheet'!J17,0)</f>
      </c>
      <c r="L6" s="15">
        <f>IFERROR('Data Sheet'!K17,0)</f>
      </c>
      <c r="M6" s="15">
        <f>IFERROR(SUM('Data Sheet'!H42:K42),0)</f>
      </c>
    </row>
    <row r="7" spans="1:13" x14ac:dyDescent="0.45">
      <c r="B7" s="18" t="s">
        <v>60</v>
      </c>
      <c r="C7" s="19" t="s">
        <v>61</v>
      </c>
      <c r="D7" s="20">
        <f>D6/C6-1</f>
      </c>
      <c r="E7" s="20">
        <f t="shared" ref="E7:M7" si="0">E6/D6-1</f>
      </c>
      <c r="F7" s="20">
        <f t="shared" si="0"/>
      </c>
      <c r="G7" s="20">
        <f t="shared" si="0"/>
      </c>
      <c r="H7" s="20">
        <f t="shared" si="0"/>
      </c>
      <c r="I7" s="20">
        <f t="shared" si="0"/>
      </c>
      <c r="J7" s="20">
        <f t="shared" si="0"/>
      </c>
      <c r="K7" s="20">
        <f t="shared" si="0"/>
      </c>
      <c r="L7" s="20">
        <f t="shared" si="0"/>
      </c>
      <c r="M7" s="20">
        <f t="shared" si="0"/>
      </c>
    </row>
    <row r="9" spans="1:13" x14ac:dyDescent="0.45">
      <c r="B9" t="s">
        <v>62</v>
      </c>
      <c r="C9" s="15">
        <f>IFERROR(SUM('Data Sheet'!B18,'Data Sheet'!B20:B22)-1*'Data Sheet'!B19,0)</f>
      </c>
      <c r="D9" s="15">
        <f>IFERROR(SUM('Data Sheet'!C18,'Data Sheet'!C20:C22)-1*'Data Sheet'!C19,0)</f>
      </c>
      <c r="E9" s="15">
        <f>IFERROR(SUM('Data Sheet'!D18,'Data Sheet'!D20:D22)-1*'Data Sheet'!D19,0)</f>
      </c>
      <c r="F9" s="15">
        <f>IFERROR(SUM('Data Sheet'!E18,'Data Sheet'!E20:E22)-1*'Data Sheet'!E19,0)</f>
      </c>
      <c r="G9" s="15">
        <f>IFERROR(SUM('Data Sheet'!F18,'Data Sheet'!F20:F22)-1*'Data Sheet'!F19,0)</f>
      </c>
      <c r="H9" s="15">
        <f>IFERROR(SUM('Data Sheet'!G18,'Data Sheet'!G20:G22)-1*'Data Sheet'!G19,0)</f>
      </c>
      <c r="I9" s="15">
        <f>IFERROR(SUM('Data Sheet'!H18,'Data Sheet'!H20:H22)-1*'Data Sheet'!H19,0)</f>
      </c>
      <c r="J9" s="15">
        <f>IFERROR(SUM('Data Sheet'!I18,'Data Sheet'!I20:I22)-1*'Data Sheet'!I19,0)</f>
      </c>
      <c r="K9" s="15">
        <f>IFERROR(SUM('Data Sheet'!J18,'Data Sheet'!J20:J22)-1*'Data Sheet'!J19,0)</f>
      </c>
      <c r="L9" s="15">
        <f>IFERROR(SUM('Data Sheet'!K18,'Data Sheet'!K20:K22)-1*'Data Sheet'!K19,0)</f>
      </c>
      <c r="M9" s="15">
        <f>IFERROR(SUM('Data Sheet'!H43:K43),0)</f>
      </c>
    </row>
    <row r="10" spans="1:13" x14ac:dyDescent="0.45">
      <c r="B10" s="18" t="s">
        <v>63</v>
      </c>
      <c r="C10" s="20">
        <f>C9/C6</f>
      </c>
      <c r="D10" s="20">
        <f t="shared" ref="D10:M10" si="1">D9/D6</f>
      </c>
      <c r="E10" s="20">
        <f t="shared" si="1"/>
      </c>
      <c r="F10" s="20">
        <f t="shared" si="1"/>
      </c>
      <c r="G10" s="20">
        <f t="shared" si="1"/>
      </c>
      <c r="H10" s="20">
        <f t="shared" si="1"/>
      </c>
      <c r="I10" s="20">
        <f t="shared" si="1"/>
      </c>
      <c r="J10" s="20">
        <f t="shared" si="1"/>
      </c>
      <c r="K10" s="20">
        <f t="shared" si="1"/>
      </c>
      <c r="L10" s="20">
        <f t="shared" si="1"/>
      </c>
      <c r="M10" s="20">
        <f t="shared" si="1"/>
      </c>
    </row>
    <row r="12" spans="1:13" x14ac:dyDescent="0.45">
      <c r="B12" s="29" t="s">
        <v>64</v>
      </c>
      <c r="C12" s="30">
        <f>C6-C9</f>
      </c>
      <c r="D12" s="30">
        <f t="shared" ref="D12:M12" si="2">D6-D9</f>
      </c>
      <c r="E12" s="30">
        <f t="shared" si="2"/>
      </c>
      <c r="F12" s="30">
        <f t="shared" si="2"/>
      </c>
      <c r="G12" s="30">
        <f t="shared" si="2"/>
      </c>
      <c r="H12" s="30">
        <f t="shared" si="2"/>
      </c>
      <c r="I12" s="30">
        <f t="shared" si="2"/>
      </c>
      <c r="J12" s="30">
        <f t="shared" si="2"/>
      </c>
      <c r="K12" s="30">
        <f t="shared" si="2"/>
      </c>
      <c r="L12" s="30">
        <f t="shared" si="2"/>
      </c>
      <c r="M12" s="30">
        <f t="shared" si="2"/>
      </c>
    </row>
    <row r="13" spans="1:13" x14ac:dyDescent="0.45">
      <c r="B13" s="18" t="s">
        <v>70</v>
      </c>
      <c r="C13" s="20">
        <f>C12/C6</f>
      </c>
      <c r="D13" s="20">
        <f t="shared" ref="D13:M13" si="3">D12/D6</f>
      </c>
      <c r="E13" s="20">
        <f t="shared" si="3"/>
      </c>
      <c r="F13" s="20">
        <f t="shared" si="3"/>
      </c>
      <c r="G13" s="20">
        <f t="shared" si="3"/>
      </c>
      <c r="H13" s="20">
        <f t="shared" si="3"/>
      </c>
      <c r="I13" s="20">
        <f t="shared" si="3"/>
      </c>
      <c r="J13" s="20">
        <f t="shared" si="3"/>
      </c>
      <c r="K13" s="20">
        <f t="shared" si="3"/>
      </c>
      <c r="L13" s="20">
        <f t="shared" si="3"/>
      </c>
      <c r="M13" s="20">
        <f t="shared" si="3"/>
      </c>
    </row>
    <row r="15" spans="1:13" x14ac:dyDescent="0.45">
      <c r="B15" t="s">
        <v>65</v>
      </c>
      <c r="C15" s="21">
        <f>IFERROR(SUM('Data Sheet'!B23:B24),0)</f>
      </c>
      <c r="D15" s="21">
        <f>IFERROR(SUM('Data Sheet'!C23:C24),0)</f>
      </c>
      <c r="E15" s="21">
        <f>IFERROR(SUM('Data Sheet'!D23:D24),0)</f>
      </c>
      <c r="F15" s="21">
        <f>IFERROR(SUM('Data Sheet'!E23:E24),0)</f>
      </c>
      <c r="G15" s="21">
        <f>IFERROR(SUM('Data Sheet'!F23:F24),0)</f>
      </c>
      <c r="H15" s="21">
        <f>IFERROR(SUM('Data Sheet'!G23:G24),0)</f>
      </c>
      <c r="I15" s="21">
        <f>IFERROR(SUM('Data Sheet'!H23:H24),0)</f>
      </c>
      <c r="J15" s="21">
        <f>IFERROR(SUM('Data Sheet'!I23:I24),0)</f>
      </c>
      <c r="K15" s="21">
        <f>IFERROR(SUM('Data Sheet'!J23:J24),0)</f>
      </c>
      <c r="L15" s="21">
        <f>IFERROR(SUM('Data Sheet'!K23:K24),0)</f>
      </c>
      <c r="M15" s="21"/>
    </row>
    <row r="16" spans="1:13" x14ac:dyDescent="0.45">
      <c r="B16" s="18" t="s">
        <v>66</v>
      </c>
      <c r="C16" s="20">
        <f>C15/C6</f>
      </c>
      <c r="D16" s="20">
        <f t="shared" ref="D16:M16" si="4">D15/D6</f>
      </c>
      <c r="E16" s="20">
        <f t="shared" si="4"/>
      </c>
      <c r="F16" s="20">
        <f t="shared" si="4"/>
      </c>
      <c r="G16" s="20">
        <f t="shared" si="4"/>
      </c>
      <c r="H16" s="20">
        <f t="shared" si="4"/>
      </c>
      <c r="I16" s="20">
        <f t="shared" si="4"/>
      </c>
      <c r="J16" s="20">
        <f t="shared" si="4"/>
      </c>
      <c r="K16" s="20">
        <f t="shared" si="4"/>
      </c>
      <c r="L16" s="20">
        <f t="shared" si="4"/>
      </c>
      <c r="M16" s="20">
        <f t="shared" si="4"/>
      </c>
    </row>
    <row r="18" spans="2:13" x14ac:dyDescent="0.45">
      <c r="B18" s="29" t="s">
        <v>28</v>
      </c>
      <c r="C18" s="30">
        <f t="shared" ref="C18:L18" si="5">C12-C15</f>
      </c>
      <c r="D18" s="30">
        <f t="shared" si="5"/>
      </c>
      <c r="E18" s="30">
        <f t="shared" si="5"/>
      </c>
      <c r="F18" s="30">
        <f t="shared" si="5"/>
      </c>
      <c r="G18" s="30">
        <f t="shared" si="5"/>
      </c>
      <c r="H18" s="30">
        <f t="shared" si="5"/>
      </c>
      <c r="I18" s="30">
        <f t="shared" si="5"/>
      </c>
      <c r="J18" s="30">
        <f t="shared" si="5"/>
      </c>
      <c r="K18" s="30">
        <f t="shared" si="5"/>
      </c>
      <c r="L18" s="30">
        <f t="shared" si="5"/>
      </c>
      <c r="M18" s="30">
        <f>IFERROR(SUM('Data Sheet'!H51:K51),0)</f>
      </c>
    </row>
    <row r="19" spans="2:13" x14ac:dyDescent="0.45">
      <c r="B19" s="18" t="s">
        <v>67</v>
      </c>
      <c r="C19" s="20">
        <f>C18/C6</f>
      </c>
      <c r="D19" s="20">
        <f t="shared" ref="D19:M19" si="6">D18/D6</f>
      </c>
      <c r="E19" s="20">
        <f t="shared" si="6"/>
      </c>
      <c r="F19" s="20">
        <f t="shared" si="6"/>
      </c>
      <c r="G19" s="20">
        <f t="shared" si="6"/>
      </c>
      <c r="H19" s="20">
        <f t="shared" si="6"/>
      </c>
      <c r="I19" s="20">
        <f t="shared" si="6"/>
      </c>
      <c r="J19" s="20">
        <f t="shared" si="6"/>
      </c>
      <c r="K19" s="20">
        <f t="shared" si="6"/>
      </c>
      <c r="L19" s="20">
        <f t="shared" si="6"/>
      </c>
      <c r="M19" s="20">
        <f t="shared" si="6"/>
      </c>
    </row>
    <row r="21" spans="2:13" x14ac:dyDescent="0.45">
      <c r="B21" t="s">
        <v>22</v>
      </c>
      <c r="C21" s="21">
        <f>IFERROR('Data Sheet'!B27,0)</f>
      </c>
      <c r="D21" s="21">
        <f>IFERROR('Data Sheet'!C27,0)</f>
      </c>
      <c r="E21" s="21">
        <f>IFERROR('Data Sheet'!D27,0)</f>
      </c>
      <c r="F21" s="21">
        <f>IFERROR('Data Sheet'!E27,0)</f>
      </c>
      <c r="G21" s="21">
        <f>IFERROR('Data Sheet'!F27,0)</f>
      </c>
      <c r="H21" s="21">
        <f>IFERROR('Data Sheet'!G27,0)</f>
      </c>
      <c r="I21" s="21">
        <f>IFERROR('Data Sheet'!H27,0)</f>
      </c>
      <c r="J21" s="21">
        <f>IFERROR('Data Sheet'!I27,0)</f>
      </c>
      <c r="K21" s="21">
        <f>IFERROR('Data Sheet'!J27,0)</f>
      </c>
      <c r="L21" s="21">
        <f>IFERROR('Data Sheet'!K27,0)</f>
      </c>
      <c r="M21" s="21">
        <f>IFERROR(SUM('Data Sheet'!H46:K46),0)</f>
      </c>
    </row>
    <row r="22" spans="2:13" x14ac:dyDescent="0.45">
      <c r="B22" s="18" t="s">
        <v>68</v>
      </c>
      <c r="C22" s="20">
        <f>C21/C6</f>
      </c>
      <c r="D22" s="20">
        <f t="shared" ref="D22:M22" si="7">D21/D6</f>
      </c>
      <c r="E22" s="20">
        <f t="shared" si="7"/>
      </c>
      <c r="F22" s="20">
        <f t="shared" si="7"/>
      </c>
      <c r="G22" s="20">
        <f t="shared" si="7"/>
      </c>
      <c r="H22" s="20">
        <f t="shared" si="7"/>
      </c>
      <c r="I22" s="20">
        <f t="shared" si="7"/>
      </c>
      <c r="J22" s="20">
        <f t="shared" si="7"/>
      </c>
      <c r="K22" s="20">
        <f t="shared" si="7"/>
      </c>
      <c r="L22" s="20">
        <f t="shared" si="7"/>
      </c>
      <c r="M22" s="20">
        <f t="shared" si="7"/>
      </c>
    </row>
    <row r="24" spans="2:13" x14ac:dyDescent="0.45">
      <c r="B24" t="s">
        <v>21</v>
      </c>
      <c r="C24" s="21">
        <f>IFERROR('Data Sheet'!B26,0)</f>
      </c>
      <c r="D24" s="21">
        <f>IFERROR('Data Sheet'!C26,0)</f>
      </c>
      <c r="E24" s="21">
        <f>IFERROR('Data Sheet'!D26,0)</f>
      </c>
      <c r="F24" s="21">
        <f>IFERROR('Data Sheet'!E26,0)</f>
      </c>
      <c r="G24" s="21">
        <f>IFERROR('Data Sheet'!F26,0)</f>
      </c>
      <c r="H24" s="21">
        <f>IFERROR('Data Sheet'!G26,0)</f>
      </c>
      <c r="I24" s="21">
        <f>IFERROR('Data Sheet'!H26,0)</f>
      </c>
      <c r="J24" s="21">
        <f>IFERROR('Data Sheet'!I26,0)</f>
      </c>
      <c r="K24" s="21">
        <f>IFERROR('Data Sheet'!J26,0)</f>
      </c>
      <c r="L24" s="21">
        <f>IFERROR('Data Sheet'!K26,0)</f>
      </c>
      <c r="M24" s="21">
        <f>IFERROR(SUM('Data Sheet'!H45:K45),0)</f>
      </c>
    </row>
    <row r="25" spans="2:13" x14ac:dyDescent="0.45">
      <c r="B25" s="18" t="s">
        <v>69</v>
      </c>
      <c r="C25" s="20">
        <f>C24/C6</f>
      </c>
      <c r="D25" s="20">
        <f t="shared" ref="D25:M25" si="8">D24/D6</f>
      </c>
      <c r="E25" s="20">
        <f t="shared" si="8"/>
      </c>
      <c r="F25" s="20">
        <f t="shared" si="8"/>
      </c>
      <c r="G25" s="20">
        <f t="shared" si="8"/>
      </c>
      <c r="H25" s="20">
        <f t="shared" si="8"/>
      </c>
      <c r="I25" s="20">
        <f t="shared" si="8"/>
      </c>
      <c r="J25" s="20">
        <f t="shared" si="8"/>
      </c>
      <c r="K25" s="20">
        <f t="shared" si="8"/>
      </c>
      <c r="L25" s="20">
        <f t="shared" si="8"/>
      </c>
      <c r="M25" s="20">
        <f t="shared" si="8"/>
      </c>
    </row>
    <row r="27" spans="2:13" x14ac:dyDescent="0.45">
      <c r="B27" s="29" t="s">
        <v>71</v>
      </c>
      <c r="C27" s="30">
        <f>IFERROR(C18-SUM(C24,C21),0)</f>
      </c>
      <c r="D27" s="30">
        <f t="shared" ref="D27:M27" si="9">IFERROR(D18-SUM(D24,D21),0)</f>
      </c>
      <c r="E27" s="30">
        <f t="shared" si="9"/>
      </c>
      <c r="F27" s="30">
        <f t="shared" si="9"/>
      </c>
      <c r="G27" s="30">
        <f t="shared" si="9"/>
      </c>
      <c r="H27" s="30">
        <f t="shared" si="9"/>
      </c>
      <c r="I27" s="32">
        <f t="shared" si="9"/>
      </c>
      <c r="J27" s="32">
        <f t="shared" si="9"/>
      </c>
      <c r="K27" s="32">
        <f t="shared" si="9"/>
      </c>
      <c r="L27" s="32">
        <f t="shared" si="9"/>
      </c>
      <c r="M27" s="32">
        <f t="shared" si="9"/>
      </c>
    </row>
    <row r="28" spans="2:13" x14ac:dyDescent="0.45">
      <c r="B28" s="18" t="s">
        <v>72</v>
      </c>
      <c r="C28" s="20">
        <f>C27/C6</f>
      </c>
      <c r="D28" s="20">
        <f t="shared" ref="D28:M28" si="10">D27/D6</f>
      </c>
      <c r="E28" s="20">
        <f t="shared" si="10"/>
      </c>
      <c r="F28" s="20">
        <f t="shared" si="10"/>
      </c>
      <c r="G28" s="20">
        <f t="shared" si="10"/>
      </c>
      <c r="H28" s="20">
        <f t="shared" si="10"/>
      </c>
      <c r="I28" s="20">
        <f t="shared" si="10"/>
      </c>
      <c r="J28" s="20">
        <f t="shared" si="10"/>
      </c>
      <c r="K28" s="20">
        <f t="shared" si="10"/>
      </c>
      <c r="L28" s="20">
        <f t="shared" si="10"/>
      </c>
      <c r="M28" s="20">
        <f t="shared" si="10"/>
      </c>
    </row>
    <row r="30" spans="2:13" x14ac:dyDescent="0.45">
      <c r="B30" t="s">
        <v>24</v>
      </c>
      <c r="C30" s="15">
        <f>IFERROR('Data Sheet'!B29,0)</f>
      </c>
      <c r="D30" s="15">
        <f>IFERROR('Data Sheet'!C29,0)</f>
      </c>
      <c r="E30" s="15">
        <f>IFERROR('Data Sheet'!D29,0)</f>
      </c>
      <c r="F30" s="15">
        <f>IFERROR('Data Sheet'!E29,0)</f>
      </c>
      <c r="G30" s="15">
        <f>IFERROR('Data Sheet'!F29,0)</f>
      </c>
      <c r="H30" s="15">
        <f>IFERROR('Data Sheet'!G29,0)</f>
      </c>
      <c r="I30" s="15">
        <f>IFERROR('Data Sheet'!H29,0)</f>
      </c>
      <c r="J30" s="15">
        <f>IFERROR('Data Sheet'!I29,0)</f>
      </c>
      <c r="K30" s="15">
        <f>IFERROR('Data Sheet'!J29,0)</f>
      </c>
      <c r="L30" s="15">
        <f>IFERROR('Data Sheet'!K29,0)</f>
      </c>
      <c r="M30" s="15">
        <f>IFERROR(SUM('Data Sheet'!H48:K48),0)</f>
      </c>
    </row>
    <row r="31" spans="2:13" x14ac:dyDescent="0.45">
      <c r="B31" s="18" t="s">
        <v>27</v>
      </c>
      <c r="C31" s="20">
        <f>C30/C27</f>
      </c>
      <c r="D31" s="20">
        <f t="shared" ref="D31:M31" si="11">D30/D27</f>
      </c>
      <c r="E31" s="20">
        <f t="shared" si="11"/>
      </c>
      <c r="F31" s="20">
        <f t="shared" si="11"/>
      </c>
      <c r="G31" s="20">
        <f t="shared" si="11"/>
      </c>
      <c r="H31" s="20">
        <f t="shared" si="11"/>
      </c>
      <c r="I31" s="20">
        <f t="shared" si="11"/>
      </c>
      <c r="J31" s="20">
        <f t="shared" si="11"/>
      </c>
      <c r="K31" s="20">
        <f t="shared" si="11"/>
      </c>
      <c r="L31" s="20">
        <f t="shared" si="11"/>
      </c>
      <c r="M31" s="20">
        <f t="shared" si="11"/>
      </c>
    </row>
    <row r="33" spans="1:13" x14ac:dyDescent="0.45">
      <c r="B33" s="33" t="s">
        <v>73</v>
      </c>
      <c r="C33" s="34">
        <f>IFERROR(C27-C30,0)</f>
      </c>
      <c r="D33" s="34">
        <f t="shared" ref="D33:M33" si="12">IFERROR(D27-D30,0)</f>
      </c>
      <c r="E33" s="34">
        <f t="shared" si="12"/>
      </c>
      <c r="F33" s="34">
        <f t="shared" si="12"/>
      </c>
      <c r="G33" s="34">
        <f t="shared" si="12"/>
      </c>
      <c r="H33" s="34">
        <f t="shared" si="12"/>
      </c>
      <c r="I33" s="34">
        <f t="shared" si="12"/>
      </c>
      <c r="J33" s="34">
        <f t="shared" si="12"/>
      </c>
      <c r="K33" s="34">
        <f t="shared" si="12"/>
      </c>
      <c r="L33" s="34">
        <f t="shared" si="12"/>
      </c>
      <c r="M33" s="34">
        <f t="shared" si="12"/>
      </c>
    </row>
    <row r="34" spans="1:13" x14ac:dyDescent="0.45">
      <c r="B34" s="18" t="s">
        <v>74</v>
      </c>
      <c r="C34" s="20">
        <f>C33/C6</f>
      </c>
      <c r="D34" s="20">
        <f t="shared" ref="D34:M34" si="13">D33/D6</f>
      </c>
      <c r="E34" s="20">
        <f t="shared" si="13"/>
      </c>
      <c r="F34" s="20">
        <f t="shared" si="13"/>
      </c>
      <c r="G34" s="20">
        <f t="shared" si="13"/>
      </c>
      <c r="H34" s="20">
        <f t="shared" si="13"/>
      </c>
      <c r="I34" s="20">
        <f t="shared" si="13"/>
      </c>
      <c r="J34" s="20">
        <f t="shared" si="13"/>
      </c>
      <c r="K34" s="20">
        <f t="shared" si="13"/>
      </c>
      <c r="L34" s="20">
        <f t="shared" si="13"/>
      </c>
      <c r="M34" s="20">
        <f t="shared" si="13"/>
      </c>
    </row>
    <row r="36" spans="1:13" x14ac:dyDescent="0.45">
      <c r="B36" t="s">
        <v>75</v>
      </c>
      <c r="C36">
        <f>IFERROR('Data Sheet'!B93,0)</f>
      </c>
      <c r="D36">
        <f>IFERROR('Data Sheet'!C93,0)</f>
      </c>
      <c r="E36">
        <f>IFERROR('Data Sheet'!D93,0)</f>
      </c>
      <c r="F36">
        <f>IFERROR('Data Sheet'!E93,0)</f>
      </c>
      <c r="G36">
        <f>IFERROR('Data Sheet'!F93,0)</f>
      </c>
      <c r="H36">
        <f>IFERROR('Data Sheet'!G93,0)</f>
      </c>
      <c r="I36">
        <f>IFERROR('Data Sheet'!H93,0)</f>
      </c>
      <c r="J36">
        <f>IFERROR('Data Sheet'!I93,0)</f>
      </c>
      <c r="K36">
        <f>IFERROR('Data Sheet'!J93,0)</f>
      </c>
      <c r="L36">
        <f>IFERROR('Data Sheet'!K93,0)</f>
      </c>
      <c r="M36">
        <f>L36</f>
      </c>
    </row>
    <row r="37" spans="1:13" x14ac:dyDescent="0.45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45">
      <c r="B38" t="s">
        <v>77</v>
      </c>
      <c r="C38" s="21">
        <f>IFERROR(C33/C36,0)</f>
      </c>
      <c r="D38" s="21">
        <f t="shared" ref="D38:M38" si="14">IFERROR(D33/D36,0)</f>
      </c>
      <c r="E38" s="21">
        <f t="shared" si="14"/>
      </c>
      <c r="F38" s="21">
        <f t="shared" si="14"/>
      </c>
      <c r="G38" s="21">
        <f t="shared" si="14"/>
      </c>
      <c r="H38" s="21">
        <f t="shared" si="14"/>
      </c>
      <c r="I38" s="21">
        <f t="shared" si="14"/>
      </c>
      <c r="J38" s="21">
        <f t="shared" si="14"/>
      </c>
      <c r="K38" s="21">
        <f t="shared" si="14"/>
      </c>
      <c r="L38" s="21">
        <f t="shared" si="14"/>
      </c>
      <c r="M38" s="21">
        <f t="shared" si="14"/>
      </c>
    </row>
    <row r="39" spans="1:13" x14ac:dyDescent="0.45">
      <c r="B39" s="18" t="s">
        <v>78</v>
      </c>
      <c r="C39" s="20"/>
      <c r="D39" s="20">
        <f>IFERROR(D38/C38-1,0)</f>
      </c>
      <c r="E39" s="20">
        <f t="shared" ref="E39:M39" si="15">IFERROR(E38/D38-1,0)</f>
      </c>
      <c r="F39" s="20">
        <f t="shared" si="15"/>
      </c>
      <c r="G39" s="20">
        <f t="shared" si="15"/>
      </c>
      <c r="H39" s="20">
        <f t="shared" si="15"/>
      </c>
      <c r="I39" s="20">
        <f t="shared" si="15"/>
      </c>
      <c r="J39" s="20">
        <f t="shared" si="15"/>
      </c>
      <c r="K39" s="20">
        <f t="shared" si="15"/>
      </c>
      <c r="L39" s="20">
        <f t="shared" si="15"/>
      </c>
      <c r="M39" s="20">
        <f t="shared" si="15"/>
      </c>
    </row>
    <row r="41" spans="1:13" x14ac:dyDescent="0.45">
      <c r="B41" t="s">
        <v>76</v>
      </c>
      <c r="C41" s="15">
        <f>IFERROR('Data Sheet'!B31/HistoricalFS!C36,0)</f>
      </c>
      <c r="D41" s="15">
        <f>IFERROR('Data Sheet'!C31/HistoricalFS!D36,0)</f>
      </c>
      <c r="E41" s="15">
        <f>IFERROR('Data Sheet'!D31/HistoricalFS!E36,0)</f>
      </c>
      <c r="F41" s="15">
        <f>IFERROR('Data Sheet'!E31/HistoricalFS!F36,0)</f>
      </c>
      <c r="G41" s="15">
        <f>IFERROR('Data Sheet'!F31/HistoricalFS!G36,0)</f>
      </c>
      <c r="H41" s="15">
        <f>IFERROR('Data Sheet'!G31/HistoricalFS!H36,0)</f>
      </c>
      <c r="I41" s="15">
        <f>IFERROR('Data Sheet'!H31/HistoricalFS!I36,0)</f>
      </c>
      <c r="J41" s="15">
        <f>IFERROR('Data Sheet'!I31/HistoricalFS!J36,0)</f>
      </c>
      <c r="K41" s="15">
        <f>IFERROR('Data Sheet'!J31/HistoricalFS!K36,0)</f>
      </c>
      <c r="L41" s="15">
        <f>IFERROR('Data Sheet'!K31/HistoricalFS!L36,0)</f>
      </c>
      <c r="M41" s="15">
        <f>IFERROR('Data Sheet'!L31/HistoricalFS!M36,0)</f>
      </c>
    </row>
    <row r="42" spans="1:13" x14ac:dyDescent="0.45">
      <c r="B42" s="18" t="s">
        <v>79</v>
      </c>
      <c r="C42" s="20">
        <f>IFERROR(C41/C38,0)</f>
      </c>
      <c r="D42" s="20">
        <f t="shared" ref="D42:M42" si="16">IFERROR(D41/D38,0)</f>
      </c>
      <c r="E42" s="20">
        <f t="shared" si="16"/>
      </c>
      <c r="F42" s="20">
        <f t="shared" si="16"/>
      </c>
      <c r="G42" s="20">
        <f t="shared" si="16"/>
      </c>
      <c r="H42" s="20">
        <f t="shared" si="16"/>
      </c>
      <c r="I42" s="20">
        <f t="shared" si="16"/>
      </c>
      <c r="J42" s="20">
        <f t="shared" si="16"/>
      </c>
      <c r="K42" s="20">
        <f t="shared" si="16"/>
      </c>
      <c r="L42" s="20">
        <f t="shared" si="16"/>
      </c>
      <c r="M42" s="20">
        <f t="shared" si="16"/>
      </c>
    </row>
    <row r="44" spans="1:13" x14ac:dyDescent="0.45">
      <c r="B44" t="s">
        <v>80</v>
      </c>
      <c r="C44" s="16">
        <f>IFERROR(IF(C38&gt;C41,1-C42,0),0)</f>
      </c>
      <c r="D44" s="16">
        <f t="shared" ref="D44:M44" si="17">IFERROR(IF(D38&gt;D41,1-D42,0),0)</f>
      </c>
      <c r="E44" s="16">
        <f t="shared" si="17"/>
      </c>
      <c r="F44" s="16">
        <f t="shared" si="17"/>
      </c>
      <c r="G44" s="16">
        <f t="shared" si="17"/>
      </c>
      <c r="H44" s="16">
        <f t="shared" si="17"/>
      </c>
      <c r="I44" s="16">
        <f t="shared" si="17"/>
      </c>
      <c r="J44" s="16">
        <f t="shared" si="17"/>
      </c>
      <c r="K44" s="16">
        <f t="shared" si="17"/>
      </c>
      <c r="L44" s="16">
        <f t="shared" si="17"/>
      </c>
      <c r="M44" s="16">
        <f t="shared" si="17"/>
      </c>
    </row>
    <row r="46" spans="1:13" x14ac:dyDescent="0.45">
      <c r="A46" t="s">
        <v>59</v>
      </c>
      <c r="B46" s="25" t="s">
        <v>81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x14ac:dyDescent="0.45">
      <c r="B47" t="s">
        <v>33</v>
      </c>
      <c r="C47" s="15">
        <f>IFERROR('Data Sheet'!B57,0)</f>
      </c>
      <c r="D47" s="15">
        <f>IFERROR('Data Sheet'!C57,0)</f>
      </c>
      <c r="E47" s="15">
        <f>IFERROR('Data Sheet'!D57,0)</f>
      </c>
      <c r="F47" s="15">
        <f>IFERROR('Data Sheet'!E57,0)</f>
      </c>
      <c r="G47" s="15">
        <f>IFERROR('Data Sheet'!F57,0)</f>
      </c>
      <c r="H47" s="15">
        <f>IFERROR('Data Sheet'!G57,0)</f>
      </c>
      <c r="I47" s="15">
        <f>IFERROR('Data Sheet'!H57,0)</f>
      </c>
      <c r="J47" s="15">
        <f>IFERROR('Data Sheet'!I57,0)</f>
      </c>
      <c r="K47" s="15">
        <f>IFERROR('Data Sheet'!J57,0)</f>
      </c>
      <c r="L47" s="15">
        <f>IFERROR('Data Sheet'!K57,0)</f>
      </c>
    </row>
    <row r="48" spans="1:13" x14ac:dyDescent="0.45">
      <c r="B48" t="s">
        <v>34</v>
      </c>
      <c r="C48" s="15">
        <f>IFERROR('Data Sheet'!B58,0)</f>
      </c>
      <c r="D48" s="15">
        <f>IFERROR('Data Sheet'!C58,0)</f>
      </c>
      <c r="E48" s="15">
        <f>IFERROR('Data Sheet'!D58,0)</f>
      </c>
      <c r="F48" s="15">
        <f>IFERROR('Data Sheet'!E58,0)</f>
      </c>
      <c r="G48" s="15">
        <f>IFERROR('Data Sheet'!F58,0)</f>
      </c>
      <c r="H48" s="15">
        <f>IFERROR('Data Sheet'!G58,0)</f>
      </c>
      <c r="I48" s="15">
        <f>IFERROR('Data Sheet'!H58,0)</f>
      </c>
      <c r="J48" s="15">
        <f>IFERROR('Data Sheet'!I58,0)</f>
      </c>
      <c r="K48" s="15">
        <f>IFERROR('Data Sheet'!J58,0)</f>
      </c>
      <c r="L48" s="15">
        <f>IFERROR('Data Sheet'!K58,0)</f>
      </c>
    </row>
    <row r="49" spans="2:13" x14ac:dyDescent="0.45">
      <c r="B49" t="s">
        <v>35</v>
      </c>
      <c r="C49" s="15">
        <f>IFERROR('Data Sheet'!B59,0)</f>
      </c>
      <c r="D49" s="15">
        <f>IFERROR('Data Sheet'!C59,0)</f>
      </c>
      <c r="E49" s="15">
        <f>IFERROR('Data Sheet'!D59,0)</f>
      </c>
      <c r="F49" s="15">
        <f>IFERROR('Data Sheet'!E59,0)</f>
      </c>
      <c r="G49" s="15">
        <f>IFERROR('Data Sheet'!F59,0)</f>
      </c>
      <c r="H49" s="15">
        <f>IFERROR('Data Sheet'!G59,0)</f>
      </c>
      <c r="I49" s="15">
        <f>IFERROR('Data Sheet'!H59,0)</f>
      </c>
      <c r="J49" s="15">
        <f>IFERROR('Data Sheet'!I59,0)</f>
      </c>
      <c r="K49" s="15">
        <f>IFERROR('Data Sheet'!J59,0)</f>
      </c>
      <c r="L49" s="15">
        <f>IFERROR('Data Sheet'!K59,0)</f>
      </c>
    </row>
    <row r="50" spans="2:13" x14ac:dyDescent="0.45">
      <c r="B50" t="s">
        <v>36</v>
      </c>
      <c r="C50" s="15">
        <f>IFERROR('Data Sheet'!B60,0)</f>
      </c>
      <c r="D50" s="15">
        <f>IFERROR('Data Sheet'!C60,0)</f>
      </c>
      <c r="E50" s="15">
        <f>IFERROR('Data Sheet'!D60,0)</f>
      </c>
      <c r="F50" s="15">
        <f>IFERROR('Data Sheet'!E60,0)</f>
      </c>
      <c r="G50" s="15">
        <f>IFERROR('Data Sheet'!F60,0)</f>
      </c>
      <c r="H50" s="15">
        <f>IFERROR('Data Sheet'!G60,0)</f>
      </c>
      <c r="I50" s="15">
        <f>IFERROR('Data Sheet'!H60,0)</f>
      </c>
      <c r="J50" s="15">
        <f>IFERROR('Data Sheet'!I60,0)</f>
      </c>
      <c r="K50" s="15">
        <f>IFERROR('Data Sheet'!J60,0)</f>
      </c>
      <c r="L50" s="15">
        <f>IFERROR('Data Sheet'!K60,0)</f>
      </c>
    </row>
    <row r="51" spans="2:13" x14ac:dyDescent="0.45">
      <c r="B51" s="29" t="s">
        <v>82</v>
      </c>
      <c r="C51" s="32">
        <f>IFERROR('Data Sheet'!B61,0)</f>
      </c>
      <c r="D51" s="32">
        <f>IFERROR('Data Sheet'!C61,0)</f>
      </c>
      <c r="E51" s="32">
        <f>IFERROR('Data Sheet'!D61,0)</f>
      </c>
      <c r="F51" s="32">
        <f>IFERROR('Data Sheet'!E61,0)</f>
      </c>
      <c r="G51" s="32">
        <f>IFERROR('Data Sheet'!F61,0)</f>
      </c>
      <c r="H51" s="32">
        <f>IFERROR('Data Sheet'!G61,0)</f>
      </c>
      <c r="I51" s="32">
        <f>IFERROR('Data Sheet'!H61,0)</f>
      </c>
      <c r="J51" s="32">
        <f>IFERROR('Data Sheet'!I61,0)</f>
      </c>
      <c r="K51" s="32">
        <f>IFERROR('Data Sheet'!J61,0)</f>
      </c>
      <c r="L51" s="32">
        <f>IFERROR('Data Sheet'!K61,0)</f>
      </c>
      <c r="M51" s="14"/>
    </row>
    <row r="53" spans="2:13" x14ac:dyDescent="0.45">
      <c r="B53" t="s">
        <v>83</v>
      </c>
      <c r="C53" s="15">
        <f>IFERROR('Data Sheet'!B62,0)</f>
      </c>
      <c r="D53" s="15">
        <f>IFERROR('Data Sheet'!C62,0)</f>
      </c>
      <c r="E53" s="15">
        <f>IFERROR('Data Sheet'!D62,0)</f>
      </c>
      <c r="F53" s="15">
        <f>IFERROR('Data Sheet'!E62,0)</f>
      </c>
      <c r="G53" s="15">
        <f>IFERROR('Data Sheet'!F62,0)</f>
      </c>
      <c r="H53" s="15">
        <f>IFERROR('Data Sheet'!G62,0)</f>
      </c>
      <c r="I53" s="15">
        <f>IFERROR('Data Sheet'!H62,0)</f>
      </c>
      <c r="J53" s="15">
        <f>IFERROR('Data Sheet'!I62,0)</f>
      </c>
      <c r="K53" s="15">
        <f>IFERROR('Data Sheet'!J62,0)</f>
      </c>
      <c r="L53" s="15">
        <f>IFERROR('Data Sheet'!K62,0)</f>
      </c>
    </row>
    <row r="54" spans="2:13" x14ac:dyDescent="0.45">
      <c r="B54" t="s">
        <v>39</v>
      </c>
      <c r="C54" s="15">
        <f>IFERROR('Data Sheet'!B63,0)</f>
      </c>
      <c r="D54" s="15">
        <f>IFERROR('Data Sheet'!C63,0)</f>
      </c>
      <c r="E54" s="15">
        <f>IFERROR('Data Sheet'!D63,0)</f>
      </c>
      <c r="F54" s="15">
        <f>IFERROR('Data Sheet'!E63,0)</f>
      </c>
      <c r="G54" s="15">
        <f>IFERROR('Data Sheet'!F63,0)</f>
      </c>
      <c r="H54" s="15">
        <f>IFERROR('Data Sheet'!G63,0)</f>
      </c>
      <c r="I54" s="15">
        <f>IFERROR('Data Sheet'!H63,0)</f>
      </c>
      <c r="J54" s="15">
        <f>IFERROR('Data Sheet'!I63,0)</f>
      </c>
      <c r="K54" s="15">
        <f>IFERROR('Data Sheet'!J63,0)</f>
      </c>
      <c r="L54" s="15">
        <f>IFERROR('Data Sheet'!K63,0)</f>
      </c>
    </row>
    <row r="55" spans="2:13" x14ac:dyDescent="0.45">
      <c r="B55" t="s">
        <v>40</v>
      </c>
      <c r="C55" s="15">
        <f>IFERROR('Data Sheet'!B64,0)</f>
      </c>
      <c r="D55" s="15">
        <f>IFERROR('Data Sheet'!C64,0)</f>
      </c>
      <c r="E55" s="15">
        <f>IFERROR('Data Sheet'!D64,0)</f>
      </c>
      <c r="F55" s="15">
        <f>IFERROR('Data Sheet'!E64,0)</f>
      </c>
      <c r="G55" s="15">
        <f>IFERROR('Data Sheet'!F64,0)</f>
      </c>
      <c r="H55" s="15">
        <f>IFERROR('Data Sheet'!G64,0)</f>
      </c>
      <c r="I55" s="15">
        <f>IFERROR('Data Sheet'!H64,0)</f>
      </c>
      <c r="J55" s="15">
        <f>IFERROR('Data Sheet'!I64,0)</f>
      </c>
      <c r="K55" s="15">
        <f>IFERROR('Data Sheet'!J64,0)</f>
      </c>
      <c r="L55" s="15">
        <f>IFERROR('Data Sheet'!K64,0)</f>
      </c>
    </row>
    <row r="56" spans="2:13" x14ac:dyDescent="0.45">
      <c r="B56" t="s">
        <v>41</v>
      </c>
      <c r="C56" s="15">
        <f>IFERROR('Data Sheet'!B65-SUM('Data Sheet'!B67:B69),0)</f>
      </c>
      <c r="D56" s="15">
        <f>IFERROR('Data Sheet'!C65-SUM('Data Sheet'!C67:C69),0)</f>
      </c>
      <c r="E56" s="15">
        <f>IFERROR('Data Sheet'!D65-SUM('Data Sheet'!D67:D69),0)</f>
      </c>
      <c r="F56" s="15">
        <f>IFERROR('Data Sheet'!E65-SUM('Data Sheet'!E67:E69),0)</f>
      </c>
      <c r="G56" s="15">
        <f>IFERROR('Data Sheet'!F65-SUM('Data Sheet'!F67:F69),0)</f>
      </c>
      <c r="H56" s="15">
        <f>IFERROR('Data Sheet'!G65-SUM('Data Sheet'!G67:G69),0)</f>
      </c>
      <c r="I56" s="15">
        <f>IFERROR('Data Sheet'!H65-SUM('Data Sheet'!H67:H69),0)</f>
      </c>
      <c r="J56" s="15">
        <f>IFERROR('Data Sheet'!I65-SUM('Data Sheet'!I67:I69),0)</f>
      </c>
      <c r="K56" s="15">
        <f>IFERROR('Data Sheet'!J65-SUM('Data Sheet'!J67:J69),0)</f>
      </c>
      <c r="L56" s="15">
        <f>IFERROR('Data Sheet'!K65-SUM('Data Sheet'!K67:K69),0)</f>
      </c>
    </row>
    <row r="57" spans="2:13" x14ac:dyDescent="0.45">
      <c r="B57" s="29" t="s">
        <v>84</v>
      </c>
      <c r="C57" s="32">
        <f>SUM(C53:C56)</f>
      </c>
      <c r="D57" s="32">
        <f t="shared" ref="D57:L57" si="18">SUM(D53:D56)</f>
      </c>
      <c r="E57" s="32">
        <f t="shared" si="18"/>
      </c>
      <c r="F57" s="32">
        <f t="shared" si="18"/>
      </c>
      <c r="G57" s="32">
        <f t="shared" si="18"/>
      </c>
      <c r="H57" s="32">
        <f t="shared" si="18"/>
      </c>
      <c r="I57" s="32">
        <f t="shared" si="18"/>
      </c>
      <c r="J57" s="32">
        <f t="shared" si="18"/>
      </c>
      <c r="K57" s="32">
        <f t="shared" si="18"/>
      </c>
      <c r="L57" s="32">
        <f t="shared" si="18"/>
      </c>
    </row>
    <row r="58" spans="2:13" x14ac:dyDescent="0.45">
      <c r="B58" s="14"/>
    </row>
    <row r="59" spans="2:13" x14ac:dyDescent="0.45">
      <c r="B59" t="s">
        <v>42</v>
      </c>
      <c r="C59" s="15">
        <f>IFERROR('Data Sheet'!B67,0)</f>
      </c>
      <c r="D59" s="15">
        <f>IFERROR('Data Sheet'!C67,0)</f>
      </c>
      <c r="E59" s="15">
        <f>IFERROR('Data Sheet'!D67,0)</f>
      </c>
      <c r="F59" s="15">
        <f>IFERROR('Data Sheet'!E67,0)</f>
      </c>
      <c r="G59" s="15">
        <f>IFERROR('Data Sheet'!F67,0)</f>
      </c>
      <c r="H59" s="15">
        <f>IFERROR('Data Sheet'!G67,0)</f>
      </c>
      <c r="I59" s="15">
        <f>IFERROR('Data Sheet'!H67,0)</f>
      </c>
      <c r="J59" s="15">
        <f>IFERROR('Data Sheet'!I67,0)</f>
      </c>
      <c r="K59" s="15">
        <f>IFERROR('Data Sheet'!J67,0)</f>
      </c>
      <c r="L59" s="15">
        <f>IFERROR('Data Sheet'!K67,0)</f>
      </c>
    </row>
    <row r="60" spans="2:13" x14ac:dyDescent="0.45">
      <c r="B60" t="s">
        <v>43</v>
      </c>
      <c r="C60" s="15">
        <f>IFERROR('Data Sheet'!B68,0)</f>
      </c>
      <c r="D60" s="15">
        <f>IFERROR('Data Sheet'!C68,0)</f>
      </c>
      <c r="E60" s="15">
        <f>IFERROR('Data Sheet'!D68,0)</f>
      </c>
      <c r="F60" s="15">
        <f>IFERROR('Data Sheet'!E68,0)</f>
      </c>
      <c r="G60" s="15">
        <f>IFERROR('Data Sheet'!F68,0)</f>
      </c>
      <c r="H60" s="15">
        <f>IFERROR('Data Sheet'!G68,0)</f>
      </c>
      <c r="I60" s="15">
        <f>IFERROR('Data Sheet'!H68,0)</f>
      </c>
      <c r="J60" s="15">
        <f>IFERROR('Data Sheet'!I68,0)</f>
      </c>
      <c r="K60" s="15">
        <f>IFERROR('Data Sheet'!J68,0)</f>
      </c>
      <c r="L60" s="15">
        <f>IFERROR('Data Sheet'!K68,0)</f>
      </c>
    </row>
    <row r="61" spans="2:13" x14ac:dyDescent="0.45">
      <c r="B61" t="s">
        <v>44</v>
      </c>
      <c r="C61" s="15">
        <f>IFERROR('Data Sheet'!B69,0)</f>
      </c>
      <c r="D61" s="15">
        <f>IFERROR('Data Sheet'!C69,0)</f>
      </c>
      <c r="E61" s="15">
        <f>IFERROR('Data Sheet'!D69,0)</f>
      </c>
      <c r="F61" s="15">
        <f>IFERROR('Data Sheet'!E69,0)</f>
      </c>
      <c r="G61" s="15">
        <f>IFERROR('Data Sheet'!F69,0)</f>
      </c>
      <c r="H61" s="15">
        <f>IFERROR('Data Sheet'!G69,0)</f>
      </c>
      <c r="I61" s="15">
        <f>IFERROR('Data Sheet'!H69,0)</f>
      </c>
      <c r="J61" s="15">
        <f>IFERROR('Data Sheet'!I69,0)</f>
      </c>
      <c r="K61" s="15">
        <f>IFERROR('Data Sheet'!J69,0)</f>
      </c>
      <c r="L61" s="15">
        <f>IFERROR('Data Sheet'!K69,0)</f>
      </c>
    </row>
    <row r="62" spans="2:13" x14ac:dyDescent="0.45">
      <c r="B62" s="29" t="s">
        <v>85</v>
      </c>
      <c r="C62" s="32">
        <f>IFERROR(SUM(C59:C61),0)</f>
      </c>
      <c r="D62" s="32">
        <f t="shared" ref="D62:L62" si="19">IFERROR(SUM(D59:D61),0)</f>
      </c>
      <c r="E62" s="32">
        <f t="shared" si="19"/>
      </c>
      <c r="F62" s="32">
        <f t="shared" si="19"/>
      </c>
      <c r="G62" s="32">
        <f t="shared" si="19"/>
      </c>
      <c r="H62" s="32">
        <f t="shared" si="19"/>
      </c>
      <c r="I62" s="32">
        <f t="shared" si="19"/>
      </c>
      <c r="J62" s="32">
        <f t="shared" si="19"/>
      </c>
      <c r="K62" s="32">
        <f t="shared" si="19"/>
      </c>
      <c r="L62" s="32">
        <f t="shared" si="19"/>
      </c>
    </row>
    <row r="64" spans="2:13" x14ac:dyDescent="0.45">
      <c r="B64" s="14" t="s">
        <v>86</v>
      </c>
      <c r="C64" s="27">
        <f>IFERROR(C62+C57,0)</f>
      </c>
      <c r="D64" s="27">
        <f t="shared" ref="D64:L64" si="20">IFERROR(D62+D57,0)</f>
      </c>
      <c r="E64" s="27">
        <f t="shared" si="20"/>
      </c>
      <c r="F64" s="27">
        <f t="shared" si="20"/>
      </c>
      <c r="G64" s="27">
        <f t="shared" si="20"/>
      </c>
      <c r="H64" s="27">
        <f t="shared" si="20"/>
      </c>
      <c r="I64" s="27">
        <f t="shared" si="20"/>
      </c>
      <c r="J64" s="27">
        <f t="shared" si="20"/>
      </c>
      <c r="K64" s="27">
        <f t="shared" si="20"/>
      </c>
      <c r="L64" s="27">
        <f t="shared" si="20"/>
      </c>
    </row>
    <row r="66" spans="1:13" x14ac:dyDescent="0.45">
      <c r="B66" s="17" t="s">
        <v>87</v>
      </c>
      <c r="C66" s="17" t="b">
        <f>C64=C51</f>
      </c>
      <c r="D66" s="17" t="b">
        <f t="shared" ref="D66:L66" si="21">D64=D51</f>
      </c>
      <c r="E66" s="17" t="b">
        <f t="shared" si="21"/>
      </c>
      <c r="F66" s="17" t="b">
        <f t="shared" si="21"/>
      </c>
      <c r="G66" s="17" t="b">
        <f t="shared" si="21"/>
      </c>
      <c r="H66" s="17" t="b">
        <f t="shared" si="21"/>
      </c>
      <c r="I66" s="17" t="b">
        <f t="shared" si="21"/>
      </c>
      <c r="J66" s="17" t="b">
        <f t="shared" si="21"/>
      </c>
      <c r="K66" s="17" t="b">
        <f t="shared" si="21"/>
      </c>
      <c r="L66" s="17" t="b">
        <f t="shared" si="21"/>
      </c>
    </row>
    <row r="68" spans="1:13" x14ac:dyDescent="0.45">
      <c r="A68" t="s">
        <v>59</v>
      </c>
      <c r="B68" s="25" t="s">
        <v>88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x14ac:dyDescent="0.45">
      <c r="B69" s="14"/>
    </row>
    <row r="70" spans="1:13" x14ac:dyDescent="0.45">
      <c r="B70" t="s">
        <v>89</v>
      </c>
      <c r="C70" s="15">
        <f>'Data Sheet'!B82</f>
      </c>
      <c r="D70" s="15">
        <f>'Data Sheet'!C82</f>
      </c>
      <c r="E70" s="15">
        <f>'Data Sheet'!D82</f>
      </c>
      <c r="F70" s="15">
        <f>'Data Sheet'!E82</f>
      </c>
      <c r="G70" s="15">
        <f>'Data Sheet'!F82</f>
      </c>
      <c r="H70" s="15">
        <f>'Data Sheet'!G82</f>
      </c>
      <c r="I70" s="15">
        <f>'Data Sheet'!H82</f>
      </c>
      <c r="J70" s="15">
        <f>'Data Sheet'!I82</f>
      </c>
      <c r="K70" s="15">
        <f>'Data Sheet'!J82</f>
      </c>
      <c r="L70" s="15">
        <f>'Data Sheet'!K82</f>
      </c>
    </row>
    <row r="72" spans="1:13" x14ac:dyDescent="0.45">
      <c r="B72" t="s">
        <v>90</v>
      </c>
      <c r="C72" s="15">
        <f>'Data Sheet'!B83</f>
      </c>
      <c r="D72" s="15">
        <f>'Data Sheet'!C83</f>
      </c>
      <c r="E72" s="15">
        <f>'Data Sheet'!D83</f>
      </c>
      <c r="F72" s="15">
        <f>'Data Sheet'!E83</f>
      </c>
      <c r="G72" s="15">
        <f>'Data Sheet'!F83</f>
      </c>
      <c r="H72" s="15">
        <f>'Data Sheet'!G83</f>
      </c>
      <c r="I72" s="15">
        <f>'Data Sheet'!H83</f>
      </c>
      <c r="J72" s="15">
        <f>'Data Sheet'!I83</f>
      </c>
      <c r="K72" s="15">
        <f>'Data Sheet'!J83</f>
      </c>
      <c r="L72" s="15">
        <f>'Data Sheet'!K83</f>
      </c>
    </row>
    <row r="74" spans="1:13" x14ac:dyDescent="0.45">
      <c r="B74" t="s">
        <v>91</v>
      </c>
      <c r="C74" s="15">
        <f>'Data Sheet'!B84</f>
      </c>
      <c r="D74" s="15">
        <f>'Data Sheet'!C84</f>
      </c>
      <c r="E74" s="15">
        <f>'Data Sheet'!D84</f>
      </c>
      <c r="F74" s="15">
        <f>'Data Sheet'!E84</f>
      </c>
      <c r="G74" s="15">
        <f>'Data Sheet'!F84</f>
      </c>
      <c r="H74" s="15">
        <f>'Data Sheet'!G84</f>
      </c>
      <c r="I74" s="15">
        <f>'Data Sheet'!H84</f>
      </c>
      <c r="J74" s="15">
        <f>'Data Sheet'!I84</f>
      </c>
      <c r="K74" s="15">
        <f>'Data Sheet'!J84</f>
      </c>
      <c r="L74" s="15">
        <f>'Data Sheet'!K84</f>
      </c>
    </row>
    <row r="76" spans="1:13" x14ac:dyDescent="0.45">
      <c r="B76" s="14" t="s">
        <v>52</v>
      </c>
      <c r="C76" s="27">
        <f t="shared" ref="C76:L76" si="22">IFERROR(C70+C72+C74,0)</f>
      </c>
      <c r="D76" s="27">
        <f t="shared" si="22"/>
      </c>
      <c r="E76" s="27">
        <f t="shared" si="22"/>
      </c>
      <c r="F76" s="27">
        <f t="shared" si="22"/>
      </c>
      <c r="G76" s="27">
        <f t="shared" si="22"/>
      </c>
      <c r="H76" s="27">
        <f t="shared" si="22"/>
      </c>
      <c r="I76" s="27">
        <f t="shared" si="22"/>
      </c>
      <c r="J76" s="27">
        <f t="shared" si="22"/>
      </c>
      <c r="K76" s="27">
        <f t="shared" si="22"/>
      </c>
      <c r="L76" s="27">
        <f t="shared" si="22"/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61D-83CE-4C5B-8D6F-24F11CFFFE30}">
  <dimension ref="B2:O43"/>
  <sheetViews>
    <sheetView showGridLines="0" zoomScale="115" zoomScaleNormal="115" workbookViewId="0">
      <pane ySplit="3" topLeftCell="A28" activePane="bottomLeft" state="frozen"/>
      <selection pane="bottomLeft" activeCell="A18" sqref="A18"/>
    </sheetView>
  </sheetViews>
  <sheetFormatPr defaultRowHeight="14.25" x14ac:dyDescent="0.45"/>
  <cols>
    <col min="1" max="1" width="1.86328125" customWidth="1"/>
    <col min="2" max="2" width="24.86328125" customWidth="1"/>
    <col min="3" max="3" width="9.19921875" bestFit="1" customWidth="1"/>
    <col min="4" max="4" width="9.9296875" bestFit="1" customWidth="1"/>
    <col min="5" max="11" width="9.19921875" bestFit="1" customWidth="1"/>
    <col min="12" max="12" width="9.265625" bestFit="1" customWidth="1"/>
  </cols>
  <sheetData>
    <row r="2" spans="2:15" x14ac:dyDescent="0.45">
      <c r="B2" s="28"/>
      <c r="C2" s="28"/>
      <c r="D2" s="28"/>
      <c r="E2" s="28"/>
      <c r="F2" s="28" t="str">
        <f>"Ratio Analysis of - "&amp;'Data Sheet'!B1</f>
      </c>
      <c r="G2" s="28"/>
      <c r="H2" s="28"/>
      <c r="I2" s="28"/>
      <c r="J2" s="28"/>
      <c r="K2" s="28"/>
      <c r="L2" s="28"/>
    </row>
    <row r="3" spans="2:15" x14ac:dyDescent="0.45">
      <c r="B3" s="11" t="s">
        <v>56</v>
      </c>
      <c r="C3" s="12">
        <f>'Data Sheet'!B16</f>
      </c>
      <c r="D3" s="12">
        <f>'Data Sheet'!C16</f>
      </c>
      <c r="E3" s="12">
        <f>'Data Sheet'!D16</f>
      </c>
      <c r="F3" s="12">
        <f>'Data Sheet'!E16</f>
      </c>
      <c r="G3" s="12">
        <f>'Data Sheet'!F16</f>
      </c>
      <c r="H3" s="12">
        <f>'Data Sheet'!G16</f>
      </c>
      <c r="I3" s="12">
        <f>'Data Sheet'!H16</f>
      </c>
      <c r="J3" s="12">
        <f>'Data Sheet'!I16</f>
      </c>
      <c r="K3" s="12">
        <f>'Data Sheet'!J16</f>
      </c>
      <c r="L3" s="12">
        <f>'Data Sheet'!K16</f>
      </c>
      <c r="N3" s="12" t="s">
        <v>124</v>
      </c>
      <c r="O3" s="12" t="s">
        <v>125</v>
      </c>
    </row>
    <row r="4" spans="2:15" x14ac:dyDescent="0.4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2:15" x14ac:dyDescent="0.45">
      <c r="B5" t="s">
        <v>97</v>
      </c>
      <c r="D5" s="16">
        <f>IFERROR(HistoricalFS!D7,0)</f>
      </c>
      <c r="E5" s="16">
        <f>IFERROR(HistoricalFS!E7,0)</f>
      </c>
      <c r="F5" s="16">
        <f>IFERROR(HistoricalFS!F7,0)</f>
      </c>
      <c r="G5" s="16">
        <f>IFERROR(HistoricalFS!G7,0)</f>
      </c>
      <c r="H5" s="16">
        <f>IFERROR(HistoricalFS!H7,0)</f>
      </c>
      <c r="I5" s="16">
        <f>IFERROR(HistoricalFS!I7,0)</f>
      </c>
      <c r="J5" s="16">
        <f>IFERROR(HistoricalFS!J7,0)</f>
      </c>
      <c r="K5" s="16">
        <f>IFERROR(HistoricalFS!K7,0)</f>
      </c>
      <c r="L5" s="16">
        <f>IFERROR(HistoricalFS!L7,0)</f>
      </c>
      <c r="N5">
        <f>IFERROR(AVERAGE(D5:L5),0)</f>
      </c>
      <c r="O5">
        <f>IFERROR(MEDIAN(C5:L5),0)</f>
      </c>
    </row>
    <row r="6" spans="2:15" x14ac:dyDescent="0.45">
      <c r="B6" t="s">
        <v>96</v>
      </c>
      <c r="D6" s="16">
        <f>IFERROR(HistoricalFS!D12/HistoricalFS!C12- 1,0)</f>
      </c>
      <c r="E6" s="16">
        <f>IFERROR(HistoricalFS!E12/HistoricalFS!D12- 1,0)</f>
      </c>
      <c r="F6" s="16">
        <f>IFERROR(HistoricalFS!F12/HistoricalFS!E12- 1,0)</f>
      </c>
      <c r="G6" s="16">
        <f>IFERROR(HistoricalFS!G12/HistoricalFS!F12- 1,0)</f>
      </c>
      <c r="H6" s="16">
        <f>IFERROR(HistoricalFS!H12/HistoricalFS!G12- 1,0)</f>
      </c>
      <c r="I6" s="16">
        <f>IFERROR(HistoricalFS!I12/HistoricalFS!H12- 1,0)</f>
      </c>
      <c r="J6" s="16">
        <f>IFERROR(HistoricalFS!J12/HistoricalFS!I12- 1,0)</f>
      </c>
      <c r="K6" s="16">
        <f>IFERROR(HistoricalFS!K12/HistoricalFS!J12- 1,0)</f>
      </c>
      <c r="L6" s="16">
        <f>IFERROR(HistoricalFS!L12/HistoricalFS!K12- 1,0)</f>
      </c>
      <c r="N6">
        <f t="shared" ref="N6:N10" si="0">IFERROR(AVERAGE(D6:L6),0)</f>
      </c>
      <c r="O6">
        <f t="shared" ref="O6:O43" si="1">IFERROR(MEDIAN(C6:L6),0)</f>
      </c>
    </row>
    <row r="7" spans="2:15" x14ac:dyDescent="0.45">
      <c r="B7" t="s">
        <v>103</v>
      </c>
      <c r="D7" s="16">
        <f>IFERROR(HistoricalFS!D18/HistoricalFS!C18 - 1, 0)</f>
      </c>
      <c r="E7" s="16">
        <f>IFERROR(HistoricalFS!E18/HistoricalFS!D18 - 1, 0)</f>
      </c>
      <c r="F7" s="16">
        <f>IFERROR(HistoricalFS!F18/HistoricalFS!E18 - 1, 0)</f>
      </c>
      <c r="G7" s="16">
        <f>IFERROR(HistoricalFS!G18/HistoricalFS!F18 - 1, 0)</f>
      </c>
      <c r="H7" s="16">
        <f>IFERROR(HistoricalFS!H18/HistoricalFS!G18 - 1, 0)</f>
      </c>
      <c r="I7" s="16">
        <f>IFERROR(HistoricalFS!I18/HistoricalFS!H18 - 1, 0)</f>
      </c>
      <c r="J7" s="16">
        <f>IFERROR(HistoricalFS!J18/HistoricalFS!I18 - 1, 0)</f>
      </c>
      <c r="K7" s="16">
        <f>IFERROR(HistoricalFS!K18/HistoricalFS!J18 - 1, 0)</f>
      </c>
      <c r="L7" s="16">
        <f>IFERROR(HistoricalFS!L18/HistoricalFS!K18 - 1, 0)</f>
      </c>
      <c r="N7">
        <f t="shared" si="0"/>
      </c>
      <c r="O7">
        <f t="shared" si="1"/>
      </c>
    </row>
    <row r="8" spans="2:15" x14ac:dyDescent="0.45">
      <c r="B8" t="s">
        <v>98</v>
      </c>
      <c r="D8" s="16">
        <f>IFERROR(HistoricalFS!D27/HistoricalFS!C27 - 1,0 )</f>
      </c>
      <c r="E8" s="16">
        <f>IFERROR(HistoricalFS!E27/HistoricalFS!D27 - 1,0 )</f>
      </c>
      <c r="F8" s="16">
        <f>IFERROR(HistoricalFS!F27/HistoricalFS!E27 - 1,0 )</f>
      </c>
      <c r="G8" s="16">
        <f>IFERROR(HistoricalFS!G27/HistoricalFS!F27 - 1,0 )</f>
      </c>
      <c r="H8" s="16">
        <f>IFERROR(HistoricalFS!H27/HistoricalFS!G27 - 1,0 )</f>
      </c>
      <c r="I8" s="16">
        <f>IFERROR(HistoricalFS!I27/HistoricalFS!H27 - 1,0 )</f>
      </c>
      <c r="J8" s="16">
        <f>IFERROR(HistoricalFS!J27/HistoricalFS!I27 - 1,0 )</f>
      </c>
      <c r="K8" s="16">
        <f>IFERROR(HistoricalFS!K27/HistoricalFS!J27 - 1,0 )</f>
      </c>
      <c r="L8" s="16">
        <f>IFERROR(HistoricalFS!L27/HistoricalFS!K27 - 1,0 )</f>
      </c>
      <c r="N8" s="35">
        <f t="shared" si="0"/>
      </c>
      <c r="O8">
        <f t="shared" si="1"/>
      </c>
    </row>
    <row r="9" spans="2:15" x14ac:dyDescent="0.45">
      <c r="B9" t="s">
        <v>102</v>
      </c>
      <c r="D9" s="16">
        <f>IFERROR(HistoricalFS!D33/HistoricalFS!C33 - 1,0)</f>
      </c>
      <c r="E9" s="16">
        <f>IFERROR(HistoricalFS!E33/HistoricalFS!D33 - 1,0)</f>
      </c>
      <c r="F9" s="16">
        <f>IFERROR(HistoricalFS!F33/HistoricalFS!E33 - 1,0)</f>
      </c>
      <c r="G9" s="16">
        <f>IFERROR(HistoricalFS!G33/HistoricalFS!F33 - 1,0)</f>
      </c>
      <c r="H9" s="16">
        <f>IFERROR(HistoricalFS!H33/HistoricalFS!G33 - 1,0)</f>
      </c>
      <c r="I9" s="16">
        <f>IFERROR(HistoricalFS!I33/HistoricalFS!H33 - 1,0)</f>
      </c>
      <c r="J9" s="16">
        <f>IFERROR(HistoricalFS!J33/HistoricalFS!I33 - 1,0)</f>
      </c>
      <c r="K9" s="16">
        <f>IFERROR(HistoricalFS!K33/HistoricalFS!J33 - 1,0)</f>
      </c>
      <c r="L9" s="16">
        <f>IFERROR(HistoricalFS!L33/HistoricalFS!K33 - 1,0)</f>
      </c>
      <c r="N9">
        <f t="shared" si="0"/>
      </c>
      <c r="O9">
        <f t="shared" si="1"/>
      </c>
    </row>
    <row r="10" spans="2:15" x14ac:dyDescent="0.45">
      <c r="B10" t="s">
        <v>101</v>
      </c>
      <c r="D10" s="16">
        <f>IFERROR(HistoricalFS!D41/HistoricalFS!C41 - 1,0)</f>
      </c>
      <c r="E10" s="16">
        <f>IFERROR(HistoricalFS!E41/HistoricalFS!D41 - 1,0)</f>
      </c>
      <c r="F10" s="16">
        <f>IFERROR(HistoricalFS!F41/HistoricalFS!E41 - 1,0)</f>
      </c>
      <c r="G10" s="16">
        <f>IFERROR(HistoricalFS!G41/HistoricalFS!F41 - 1,0)</f>
      </c>
      <c r="H10" s="16">
        <f>IFERROR(HistoricalFS!H41/HistoricalFS!G41 - 1,0)</f>
      </c>
      <c r="I10" s="16">
        <f>IFERROR(HistoricalFS!I41/HistoricalFS!H41 - 1,0)</f>
      </c>
      <c r="J10" s="16">
        <f>IFERROR(HistoricalFS!J41/HistoricalFS!I41 - 1,0)</f>
      </c>
      <c r="K10" s="16">
        <f>IFERROR(HistoricalFS!K41/HistoricalFS!J41 - 1,0)</f>
      </c>
      <c r="L10" s="16">
        <f>IFERROR(HistoricalFS!L41/HistoricalFS!K41 - 1,0)</f>
      </c>
      <c r="N10">
        <f t="shared" si="0"/>
      </c>
      <c r="O10">
        <f t="shared" si="1"/>
      </c>
    </row>
    <row r="12" spans="2:15" x14ac:dyDescent="0.45">
      <c r="B12" t="s">
        <v>92</v>
      </c>
      <c r="C12" s="16">
        <f>HistoricalFS!C13</f>
      </c>
      <c r="D12" s="16">
        <f>HistoricalFS!D13</f>
      </c>
      <c r="E12" s="16">
        <f>HistoricalFS!E13</f>
      </c>
      <c r="F12" s="16">
        <f>HistoricalFS!F13</f>
      </c>
      <c r="G12" s="16">
        <f>HistoricalFS!G13</f>
      </c>
      <c r="H12" s="16">
        <f>HistoricalFS!H13</f>
      </c>
      <c r="I12" s="16">
        <f>HistoricalFS!I13</f>
      </c>
      <c r="J12" s="16">
        <f>HistoricalFS!J13</f>
      </c>
      <c r="K12" s="16">
        <f>HistoricalFS!K13</f>
      </c>
      <c r="L12" s="16">
        <f>HistoricalFS!L13</f>
      </c>
      <c r="N12">
        <f>IFERROR(AVERAGE(C12:L12),0)</f>
      </c>
      <c r="O12">
        <f t="shared" si="1"/>
      </c>
    </row>
    <row r="13" spans="2:15" x14ac:dyDescent="0.45">
      <c r="B13" t="s">
        <v>104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2:15" x14ac:dyDescent="0.45">
      <c r="B14" t="s">
        <v>93</v>
      </c>
      <c r="C14" s="16">
        <f>IFERROR(HistoricalFS!C18/HistoricalFS!C6,0)</f>
      </c>
      <c r="D14" s="16">
        <f>IFERROR(HistoricalFS!D18/HistoricalFS!D6,0)</f>
      </c>
      <c r="E14" s="16">
        <f>IFERROR(HistoricalFS!E18/HistoricalFS!E6,0)</f>
      </c>
      <c r="F14" s="16">
        <f>IFERROR(HistoricalFS!F18/HistoricalFS!F6,0)</f>
      </c>
      <c r="G14" s="16">
        <f>IFERROR(HistoricalFS!G18/HistoricalFS!G6,0)</f>
      </c>
      <c r="H14" s="16">
        <f>IFERROR(HistoricalFS!H18/HistoricalFS!H6,0)</f>
      </c>
      <c r="I14" s="16">
        <f>IFERROR(HistoricalFS!I18/HistoricalFS!I6,0)</f>
      </c>
      <c r="J14" s="16">
        <f>IFERROR(HistoricalFS!J18/HistoricalFS!J6,0)</f>
      </c>
      <c r="K14" s="16">
        <f>IFERROR(HistoricalFS!K18/HistoricalFS!K6,0)</f>
      </c>
      <c r="L14" s="16">
        <f>IFERROR(HistoricalFS!L18/HistoricalFS!L6,0)</f>
      </c>
      <c r="N14">
        <f t="shared" ref="N14:N43" si="2">IFERROR(AVERAGE(C14:L14),0)</f>
      </c>
      <c r="O14">
        <f t="shared" si="1"/>
      </c>
    </row>
    <row r="15" spans="2:15" x14ac:dyDescent="0.45">
      <c r="B15" t="s">
        <v>105</v>
      </c>
      <c r="C15" s="16">
        <f>IFERROR((HistoricalFS!C18-HistoricalFS!C24)/HistoricalFS!C6,0)</f>
      </c>
      <c r="D15" s="16">
        <f>IFERROR((HistoricalFS!D18-HistoricalFS!D24)/HistoricalFS!D6,0)</f>
      </c>
      <c r="E15" s="16">
        <f>IFERROR((HistoricalFS!E18-HistoricalFS!E24)/HistoricalFS!E6,0)</f>
      </c>
      <c r="F15" s="16">
        <f>IFERROR((HistoricalFS!F18-HistoricalFS!F24)/HistoricalFS!F6,0)</f>
      </c>
      <c r="G15" s="16">
        <f>IFERROR((HistoricalFS!G18-HistoricalFS!G24)/HistoricalFS!G6,0)</f>
      </c>
      <c r="H15" s="16">
        <f>IFERROR((HistoricalFS!H18-HistoricalFS!H24)/HistoricalFS!H6,0)</f>
      </c>
      <c r="I15" s="16">
        <f>IFERROR((HistoricalFS!I18-HistoricalFS!I24)/HistoricalFS!I6,0)</f>
      </c>
      <c r="J15" s="16">
        <f>IFERROR((HistoricalFS!J18-HistoricalFS!J24)/HistoricalFS!J6,0)</f>
      </c>
      <c r="K15" s="16">
        <f>IFERROR((HistoricalFS!K18-HistoricalFS!K24)/HistoricalFS!K6,0)</f>
      </c>
      <c r="L15" s="16">
        <f>IFERROR((HistoricalFS!L18-HistoricalFS!L24)/HistoricalFS!L6,0)</f>
      </c>
      <c r="N15">
        <f t="shared" si="2"/>
      </c>
      <c r="O15">
        <f t="shared" si="1"/>
      </c>
    </row>
    <row r="16" spans="2:15" x14ac:dyDescent="0.45">
      <c r="B16" t="s">
        <v>106</v>
      </c>
      <c r="C16" s="16">
        <f>IFERROR(HistoricalFS!C27/HistoricalFS!C6,0)</f>
      </c>
      <c r="D16" s="16">
        <f>IFERROR(HistoricalFS!D27/HistoricalFS!D6,0)</f>
      </c>
      <c r="E16" s="16">
        <f>IFERROR(HistoricalFS!E27/HistoricalFS!E6,0)</f>
      </c>
      <c r="F16" s="16">
        <f>IFERROR(HistoricalFS!F27/HistoricalFS!F6,0)</f>
      </c>
      <c r="G16" s="16">
        <f>IFERROR(HistoricalFS!G27/HistoricalFS!G6,0)</f>
      </c>
      <c r="H16" s="16">
        <f>IFERROR(HistoricalFS!H27/HistoricalFS!H6,0)</f>
      </c>
      <c r="I16" s="16">
        <f>IFERROR(HistoricalFS!I27/HistoricalFS!I6,0)</f>
      </c>
      <c r="J16" s="16">
        <f>IFERROR(HistoricalFS!J27/HistoricalFS!J6,0)</f>
      </c>
      <c r="K16" s="16">
        <f>IFERROR(HistoricalFS!K27/HistoricalFS!K6,0)</f>
      </c>
      <c r="L16" s="16">
        <f>IFERROR(HistoricalFS!L27/HistoricalFS!L6,0)</f>
      </c>
      <c r="N16">
        <f t="shared" si="2"/>
      </c>
      <c r="O16">
        <f t="shared" si="1"/>
      </c>
    </row>
    <row r="17" spans="2:15" x14ac:dyDescent="0.45">
      <c r="B17" t="s">
        <v>107</v>
      </c>
      <c r="C17" s="16">
        <f>HistoricalFS!C34</f>
      </c>
      <c r="D17" s="16">
        <f>HistoricalFS!D34</f>
      </c>
      <c r="E17" s="16">
        <f>HistoricalFS!E34</f>
      </c>
      <c r="F17" s="16">
        <f>HistoricalFS!F34</f>
      </c>
      <c r="G17" s="16">
        <f>HistoricalFS!G34</f>
      </c>
      <c r="H17" s="16">
        <f>HistoricalFS!H34</f>
      </c>
      <c r="I17" s="16">
        <f>HistoricalFS!I34</f>
      </c>
      <c r="J17" s="16">
        <f>HistoricalFS!J34</f>
      </c>
      <c r="K17" s="16">
        <f>HistoricalFS!K34</f>
      </c>
      <c r="L17" s="16">
        <f>HistoricalFS!L34</f>
      </c>
      <c r="N17">
        <f t="shared" si="2"/>
      </c>
      <c r="O17">
        <f t="shared" si="1"/>
      </c>
    </row>
    <row r="18" spans="2:15" x14ac:dyDescent="0.4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2:15" x14ac:dyDescent="0.45">
      <c r="B19" t="s">
        <v>95</v>
      </c>
      <c r="C19" s="16">
        <f>IFERROR(HistoricalFS!C16,0)</f>
      </c>
      <c r="D19" s="16">
        <f>IFERROR(HistoricalFS!D16,0)</f>
      </c>
      <c r="E19" s="16">
        <f>IFERROR(HistoricalFS!E16,0)</f>
      </c>
      <c r="F19" s="16">
        <f>IFERROR(HistoricalFS!F16,0)</f>
      </c>
      <c r="G19" s="16">
        <f>IFERROR(HistoricalFS!G16,0)</f>
      </c>
      <c r="H19" s="16">
        <f>IFERROR(HistoricalFS!H16,0)</f>
      </c>
      <c r="I19" s="16">
        <f>IFERROR(HistoricalFS!I16,0)</f>
      </c>
      <c r="J19" s="16">
        <f>IFERROR(HistoricalFS!J16,0)</f>
      </c>
      <c r="K19" s="16">
        <f>IFERROR(HistoricalFS!K16,0)</f>
      </c>
      <c r="L19" s="16">
        <f>IFERROR(HistoricalFS!L16,0)</f>
      </c>
      <c r="N19">
        <f t="shared" si="2"/>
      </c>
      <c r="O19">
        <f t="shared" si="1"/>
      </c>
    </row>
    <row r="20" spans="2:15" x14ac:dyDescent="0.45">
      <c r="B20" t="s">
        <v>69</v>
      </c>
      <c r="C20" s="16">
        <f>IFERROR(HistoricalFS!C25,0)</f>
      </c>
      <c r="D20" s="16">
        <f>IFERROR(HistoricalFS!D25,0)</f>
      </c>
      <c r="E20" s="16">
        <f>IFERROR(HistoricalFS!E25,0)</f>
      </c>
      <c r="F20" s="16">
        <f>IFERROR(HistoricalFS!F25,0)</f>
      </c>
      <c r="G20" s="16">
        <f>IFERROR(HistoricalFS!G25,0)</f>
      </c>
      <c r="H20" s="16">
        <f>IFERROR(HistoricalFS!H25,0)</f>
      </c>
      <c r="I20" s="16">
        <f>IFERROR(HistoricalFS!I25,0)</f>
      </c>
      <c r="J20" s="16">
        <f>IFERROR(HistoricalFS!J25,0)</f>
      </c>
      <c r="K20" s="16">
        <f>IFERROR(HistoricalFS!K25,0)</f>
      </c>
      <c r="L20" s="16">
        <f>IFERROR(HistoricalFS!L25,0)</f>
      </c>
      <c r="N20">
        <f t="shared" si="2"/>
      </c>
      <c r="O20">
        <f t="shared" si="1"/>
      </c>
    </row>
    <row r="21" spans="2:15" x14ac:dyDescent="0.45">
      <c r="B21" t="s">
        <v>94</v>
      </c>
      <c r="C21" s="16">
        <f>C15</f>
      </c>
      <c r="D21" s="16">
        <f t="shared" ref="D21:L21" si="3">D15</f>
      </c>
      <c r="E21" s="16">
        <f t="shared" si="3"/>
      </c>
      <c r="F21" s="16">
        <f t="shared" si="3"/>
      </c>
      <c r="G21" s="16">
        <f t="shared" si="3"/>
      </c>
      <c r="H21" s="16">
        <f t="shared" si="3"/>
      </c>
      <c r="I21" s="16">
        <f t="shared" si="3"/>
      </c>
      <c r="J21" s="16">
        <f t="shared" si="3"/>
      </c>
      <c r="K21" s="16">
        <f t="shared" si="3"/>
      </c>
      <c r="L21" s="16">
        <f t="shared" si="3"/>
      </c>
      <c r="N21">
        <f t="shared" si="2"/>
      </c>
      <c r="O21">
        <f t="shared" si="1"/>
      </c>
    </row>
    <row r="22" spans="2:15" x14ac:dyDescent="0.4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2:15" x14ac:dyDescent="0.45">
      <c r="B23" t="s">
        <v>119</v>
      </c>
      <c r="C23" s="16">
        <f>IFERROR((HistoricalFS!C18-HistoricalFS!C24)/SUM(HistoricalFS!C47:C49),0)</f>
      </c>
      <c r="D23" s="16">
        <f>IFERROR((HistoricalFS!D18-HistoricalFS!D24)/SUM(HistoricalFS!D47:D49),0)</f>
      </c>
      <c r="E23" s="16">
        <f>IFERROR((HistoricalFS!E18-HistoricalFS!E24)/SUM(HistoricalFS!E47:E49),0)</f>
      </c>
      <c r="F23" s="16">
        <f>IFERROR((HistoricalFS!F18-HistoricalFS!F24)/SUM(HistoricalFS!F47:F49),0)</f>
      </c>
      <c r="G23" s="16">
        <f>IFERROR((HistoricalFS!G18-HistoricalFS!G24)/SUM(HistoricalFS!G47:G49),0)</f>
      </c>
      <c r="H23" s="16">
        <f>IFERROR((HistoricalFS!H18-HistoricalFS!H24)/SUM(HistoricalFS!H47:H49),0)</f>
      </c>
      <c r="I23" s="16">
        <f>IFERROR((HistoricalFS!I18-HistoricalFS!I24)/SUM(HistoricalFS!I47:I49),0)</f>
      </c>
      <c r="J23" s="16">
        <f>IFERROR((HistoricalFS!J18-HistoricalFS!J24)/SUM(HistoricalFS!J47:J49),0)</f>
      </c>
      <c r="K23" s="16">
        <f>IFERROR((HistoricalFS!K18-HistoricalFS!K24)/SUM(HistoricalFS!K47:K49),0)</f>
      </c>
      <c r="L23" s="16">
        <f>IFERROR((HistoricalFS!L18-HistoricalFS!L24)/SUM(HistoricalFS!L47:L49),0)</f>
      </c>
      <c r="N23">
        <f t="shared" si="2"/>
      </c>
      <c r="O23">
        <f t="shared" si="1"/>
      </c>
    </row>
    <row r="24" spans="2:15" x14ac:dyDescent="0.45">
      <c r="B24" t="s">
        <v>100</v>
      </c>
      <c r="C24" s="16">
        <f>HistoricalFS!C44</f>
      </c>
      <c r="D24" s="16">
        <f>HistoricalFS!D44</f>
      </c>
      <c r="E24" s="16">
        <f>HistoricalFS!E44</f>
      </c>
      <c r="F24" s="16">
        <f>HistoricalFS!F44</f>
      </c>
      <c r="G24" s="16">
        <f>HistoricalFS!G44</f>
      </c>
      <c r="H24" s="16">
        <f>HistoricalFS!H44</f>
      </c>
      <c r="I24" s="16">
        <f>HistoricalFS!I44</f>
      </c>
      <c r="J24" s="16">
        <f>HistoricalFS!J44</f>
      </c>
      <c r="K24" s="16">
        <f>HistoricalFS!K44</f>
      </c>
      <c r="L24" s="16">
        <f>HistoricalFS!L44</f>
      </c>
      <c r="N24">
        <f t="shared" si="2"/>
      </c>
      <c r="O24">
        <f t="shared" si="1"/>
      </c>
    </row>
    <row r="25" spans="2:15" x14ac:dyDescent="0.45">
      <c r="B25" t="s">
        <v>118</v>
      </c>
      <c r="C25" s="16">
        <f>IFERROR(HistoricalFS!C33/SUM(HistoricalFS!C47:C48),0)</f>
      </c>
      <c r="D25" s="16">
        <f>IFERROR(HistoricalFS!D33/SUM(HistoricalFS!D47:D48),0)</f>
      </c>
      <c r="E25" s="16">
        <f>IFERROR(HistoricalFS!E33/SUM(HistoricalFS!E47:E48),0)</f>
      </c>
      <c r="F25" s="16">
        <f>IFERROR(HistoricalFS!F33/SUM(HistoricalFS!F47:F48),0)</f>
      </c>
      <c r="G25" s="16">
        <f>IFERROR(HistoricalFS!G33/SUM(HistoricalFS!G47:G48),0)</f>
      </c>
      <c r="H25" s="16">
        <f>IFERROR(HistoricalFS!H33/SUM(HistoricalFS!H47:H48),0)</f>
      </c>
      <c r="I25" s="16">
        <f>IFERROR(HistoricalFS!I33/SUM(HistoricalFS!I47:I48),0)</f>
      </c>
      <c r="J25" s="16">
        <f>IFERROR(HistoricalFS!J33/SUM(HistoricalFS!J47:J48),0)</f>
      </c>
      <c r="K25" s="16">
        <f>IFERROR(HistoricalFS!K33/SUM(HistoricalFS!K47:K48),0)</f>
      </c>
      <c r="L25" s="16">
        <f>IFERROR(HistoricalFS!L33/SUM(HistoricalFS!L47:L48),0)</f>
      </c>
      <c r="N25">
        <f t="shared" si="2"/>
      </c>
      <c r="O25">
        <f t="shared" si="1"/>
      </c>
    </row>
    <row r="26" spans="2:15" x14ac:dyDescent="0.45">
      <c r="B26" t="s">
        <v>99</v>
      </c>
      <c r="C26" s="16">
        <f>IFERROR(PRODUCT(C25,C24),0)</f>
      </c>
      <c r="D26" s="16">
        <f t="shared" ref="D26:L26" si="4">IFERROR(PRODUCT(D25,D24),0)</f>
      </c>
      <c r="E26" s="16">
        <f t="shared" si="4"/>
      </c>
      <c r="F26" s="16">
        <f t="shared" si="4"/>
      </c>
      <c r="G26" s="16">
        <f t="shared" si="4"/>
      </c>
      <c r="H26" s="16">
        <f t="shared" si="4"/>
      </c>
      <c r="I26" s="16">
        <f t="shared" si="4"/>
      </c>
      <c r="J26" s="16">
        <f t="shared" si="4"/>
      </c>
      <c r="K26" s="16">
        <f t="shared" si="4"/>
      </c>
      <c r="L26" s="16">
        <f t="shared" si="4"/>
      </c>
      <c r="N26">
        <f t="shared" si="2"/>
      </c>
      <c r="O26">
        <f t="shared" si="1"/>
      </c>
    </row>
    <row r="27" spans="2:15" x14ac:dyDescent="0.45">
      <c r="B27" t="s">
        <v>108</v>
      </c>
      <c r="C27" s="36">
        <f>IFERROR((HistoricalFS!C18-HistoricalFS!C24)/HistoricalFS!C21,0)</f>
      </c>
      <c r="D27" s="36">
        <f>IFERROR((HistoricalFS!D18-HistoricalFS!D24)/HistoricalFS!D21,0)</f>
      </c>
      <c r="E27" s="36">
        <f>IFERROR((HistoricalFS!E18-HistoricalFS!E24)/HistoricalFS!E21,0)</f>
      </c>
      <c r="F27" s="36">
        <f>IFERROR((HistoricalFS!F18-HistoricalFS!F24)/HistoricalFS!F21,0)</f>
      </c>
      <c r="G27" s="36">
        <f>IFERROR((HistoricalFS!G18-HistoricalFS!G24)/HistoricalFS!G21,0)</f>
      </c>
      <c r="H27" s="36">
        <f>IFERROR((HistoricalFS!H18-HistoricalFS!H24)/HistoricalFS!H21,0)</f>
      </c>
      <c r="I27" s="36">
        <f>IFERROR((HistoricalFS!I18-HistoricalFS!I24)/HistoricalFS!I21,0)</f>
      </c>
      <c r="J27" s="36">
        <f>IFERROR((HistoricalFS!J18-HistoricalFS!J24)/HistoricalFS!J21,0)</f>
      </c>
      <c r="K27" s="36">
        <f>IFERROR((HistoricalFS!K18-HistoricalFS!K24)/HistoricalFS!K21,0)</f>
      </c>
      <c r="L27" s="36">
        <f>IFERROR((HistoricalFS!L18-HistoricalFS!L24)/HistoricalFS!L21,0)</f>
      </c>
      <c r="N27">
        <f t="shared" si="2"/>
      </c>
      <c r="O27">
        <f t="shared" si="1"/>
      </c>
    </row>
    <row r="28" spans="2:15" x14ac:dyDescent="0.4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2:15" x14ac:dyDescent="0.45">
      <c r="B29" t="s">
        <v>109</v>
      </c>
      <c r="C29" s="38">
        <f>IFERROR((HistoricalFS!C6/HistoricalFS!C59),0)</f>
      </c>
      <c r="D29" s="38">
        <f>IFERROR((HistoricalFS!D6/HistoricalFS!D59),0)</f>
      </c>
      <c r="E29" s="38">
        <f>IFERROR((HistoricalFS!E6/HistoricalFS!E59),0)</f>
      </c>
      <c r="F29" s="38">
        <f>IFERROR((HistoricalFS!F6/HistoricalFS!F59),0)</f>
      </c>
      <c r="G29" s="38">
        <f>IFERROR((HistoricalFS!G6/HistoricalFS!G59),0)</f>
      </c>
      <c r="H29" s="38">
        <f>IFERROR((HistoricalFS!H6/HistoricalFS!H59),0)</f>
      </c>
      <c r="I29" s="38">
        <f>IFERROR((HistoricalFS!I6/HistoricalFS!I59),0)</f>
      </c>
      <c r="J29" s="38">
        <f>IFERROR((HistoricalFS!J6/HistoricalFS!J59),0)</f>
      </c>
      <c r="K29" s="38">
        <f>IFERROR((HistoricalFS!K6/HistoricalFS!K59),0)</f>
      </c>
      <c r="L29" s="38">
        <f>IFERROR((HistoricalFS!L6/HistoricalFS!L59),0)</f>
      </c>
      <c r="N29">
        <f t="shared" si="2"/>
      </c>
      <c r="O29">
        <f t="shared" si="1"/>
      </c>
    </row>
    <row r="30" spans="2:15" x14ac:dyDescent="0.45">
      <c r="B30" t="s">
        <v>113</v>
      </c>
      <c r="C30" s="38">
        <f>IFERROR(HistoricalFS!C6/HistoricalFS!C50,0)</f>
      </c>
      <c r="D30" s="38">
        <f>IFERROR(HistoricalFS!D6/HistoricalFS!D50,0)</f>
      </c>
      <c r="E30" s="38">
        <f>IFERROR(HistoricalFS!E6/HistoricalFS!E50,0)</f>
      </c>
      <c r="F30" s="38">
        <f>IFERROR(HistoricalFS!F6/HistoricalFS!F50,0)</f>
      </c>
      <c r="G30" s="38">
        <f>IFERROR(HistoricalFS!G6/HistoricalFS!G50,0)</f>
      </c>
      <c r="H30" s="38">
        <f>IFERROR(HistoricalFS!H6/HistoricalFS!H50,0)</f>
      </c>
      <c r="I30" s="38">
        <f>IFERROR(HistoricalFS!I6/HistoricalFS!I50,0)</f>
      </c>
      <c r="J30" s="38">
        <f>IFERROR(HistoricalFS!J6/HistoricalFS!J50,0)</f>
      </c>
      <c r="K30" s="38">
        <f>IFERROR(HistoricalFS!K6/HistoricalFS!K50,0)</f>
      </c>
      <c r="L30" s="38">
        <f>IFERROR(HistoricalFS!L6/HistoricalFS!L50,0)</f>
      </c>
      <c r="N30">
        <f t="shared" si="2"/>
      </c>
      <c r="O30">
        <f t="shared" si="1"/>
      </c>
    </row>
    <row r="31" spans="2:15" x14ac:dyDescent="0.45">
      <c r="B31" t="s">
        <v>110</v>
      </c>
      <c r="C31" s="38">
        <f>IFERROR(HistoricalFS!C6/HistoricalFS!C60,0)</f>
      </c>
      <c r="D31" s="38">
        <f>IFERROR(HistoricalFS!D6/HistoricalFS!D60,0)</f>
      </c>
      <c r="E31" s="38">
        <f>IFERROR(HistoricalFS!E6/HistoricalFS!E60,0)</f>
      </c>
      <c r="F31" s="38">
        <f>IFERROR(HistoricalFS!F6/HistoricalFS!F60,0)</f>
      </c>
      <c r="G31" s="38">
        <f>IFERROR(HistoricalFS!G6/HistoricalFS!G60,0)</f>
      </c>
      <c r="H31" s="38">
        <f>IFERROR(HistoricalFS!H6/HistoricalFS!H60,0)</f>
      </c>
      <c r="I31" s="38">
        <f>IFERROR(HistoricalFS!I6/HistoricalFS!I60,0)</f>
      </c>
      <c r="J31" s="38">
        <f>IFERROR(HistoricalFS!J6/HistoricalFS!J60,0)</f>
      </c>
      <c r="K31" s="38">
        <f>IFERROR(HistoricalFS!K6/HistoricalFS!K60,0)</f>
      </c>
      <c r="L31" s="38">
        <f>IFERROR(HistoricalFS!L6/HistoricalFS!L60,0)</f>
      </c>
      <c r="N31">
        <f t="shared" si="2"/>
      </c>
      <c r="O31">
        <f t="shared" si="1"/>
      </c>
    </row>
    <row r="32" spans="2:15" x14ac:dyDescent="0.45">
      <c r="B32" t="s">
        <v>111</v>
      </c>
      <c r="C32" s="38">
        <f>IFERROR(HistoricalFS!C6/HistoricalFS!C53,0)</f>
      </c>
      <c r="D32" s="38">
        <f>IFERROR(HistoricalFS!D6/HistoricalFS!D53,0)</f>
      </c>
      <c r="E32" s="38">
        <f>IFERROR(HistoricalFS!E6/HistoricalFS!E53,0)</f>
      </c>
      <c r="F32" s="38">
        <f>IFERROR(HistoricalFS!F6/HistoricalFS!F53,0)</f>
      </c>
      <c r="G32" s="38">
        <f>IFERROR(HistoricalFS!G6/HistoricalFS!G53,0)</f>
      </c>
      <c r="H32" s="38">
        <f>IFERROR(HistoricalFS!H6/HistoricalFS!H53,0)</f>
      </c>
      <c r="I32" s="38">
        <f>IFERROR(HistoricalFS!I6/HistoricalFS!I53,0)</f>
      </c>
      <c r="J32" s="38">
        <f>IFERROR(HistoricalFS!J6/HistoricalFS!J53,0)</f>
      </c>
      <c r="K32" s="38">
        <f>IFERROR(HistoricalFS!K6/HistoricalFS!K53,0)</f>
      </c>
      <c r="L32" s="38">
        <f>IFERROR(HistoricalFS!L6/HistoricalFS!L53,0)</f>
      </c>
      <c r="N32">
        <f t="shared" si="2"/>
      </c>
      <c r="O32">
        <f t="shared" si="1"/>
      </c>
    </row>
    <row r="33" spans="2:15" x14ac:dyDescent="0.45">
      <c r="B33" t="s">
        <v>115</v>
      </c>
      <c r="C33" s="38">
        <f>IFERROR(HistoricalFS!C6/SUM(HistoricalFS!C47:C48),0)</f>
      </c>
      <c r="D33" s="38">
        <f>IFERROR(HistoricalFS!D6/SUM(HistoricalFS!D47:D48),0)</f>
      </c>
      <c r="E33" s="38">
        <f>IFERROR(HistoricalFS!E6/SUM(HistoricalFS!E47:E48),0)</f>
      </c>
      <c r="F33" s="38">
        <f>IFERROR(HistoricalFS!F6/SUM(HistoricalFS!F47:F48),0)</f>
      </c>
      <c r="G33" s="38">
        <f>IFERROR(HistoricalFS!G6/SUM(HistoricalFS!G47:G48),0)</f>
      </c>
      <c r="H33" s="38">
        <f>IFERROR(HistoricalFS!H6/SUM(HistoricalFS!H47:H48),0)</f>
      </c>
      <c r="I33" s="38">
        <f>IFERROR(HistoricalFS!I6/SUM(HistoricalFS!I47:I48),0)</f>
      </c>
      <c r="J33" s="38">
        <f>IFERROR(HistoricalFS!J6/SUM(HistoricalFS!J47:J48),0)</f>
      </c>
      <c r="K33" s="38">
        <f>IFERROR(HistoricalFS!K6/SUM(HistoricalFS!K47:K48),0)</f>
      </c>
      <c r="L33" s="38">
        <f>IFERROR(HistoricalFS!L6/SUM(HistoricalFS!L47:L48),0)</f>
      </c>
      <c r="N33">
        <f t="shared" si="2"/>
      </c>
      <c r="O33">
        <f t="shared" si="1"/>
      </c>
    </row>
    <row r="34" spans="2:15" x14ac:dyDescent="0.45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6" spans="2:15" x14ac:dyDescent="0.45">
      <c r="B36" t="s">
        <v>112</v>
      </c>
      <c r="C36" s="37">
        <f>IFERROR(365/C29,0)</f>
      </c>
      <c r="D36" s="37">
        <f t="shared" ref="D36:L36" si="5">IFERROR(365/D29,0)</f>
      </c>
      <c r="E36" s="37">
        <f t="shared" si="5"/>
      </c>
      <c r="F36" s="37">
        <f t="shared" si="5"/>
      </c>
      <c r="G36" s="37">
        <f t="shared" si="5"/>
      </c>
      <c r="H36" s="37">
        <f t="shared" si="5"/>
      </c>
      <c r="I36" s="37">
        <f t="shared" si="5"/>
      </c>
      <c r="J36" s="37">
        <f t="shared" si="5"/>
      </c>
      <c r="K36" s="37">
        <f t="shared" si="5"/>
      </c>
      <c r="L36" s="37">
        <f t="shared" si="5"/>
      </c>
      <c r="N36">
        <f t="shared" si="2"/>
      </c>
      <c r="O36">
        <f t="shared" si="1"/>
      </c>
    </row>
    <row r="37" spans="2:15" x14ac:dyDescent="0.45">
      <c r="B37" t="s">
        <v>114</v>
      </c>
      <c r="C37" s="37">
        <f>IFERROR(365/C30,0)</f>
      </c>
      <c r="D37" s="37">
        <f t="shared" ref="D37:L37" si="6">IFERROR(365/D30,0)</f>
      </c>
      <c r="E37" s="37">
        <f t="shared" si="6"/>
      </c>
      <c r="F37" s="37">
        <f t="shared" si="6"/>
      </c>
      <c r="G37" s="37">
        <f t="shared" si="6"/>
      </c>
      <c r="H37" s="37">
        <f t="shared" si="6"/>
      </c>
      <c r="I37" s="37">
        <f t="shared" si="6"/>
      </c>
      <c r="J37" s="37">
        <f t="shared" si="6"/>
      </c>
      <c r="K37" s="37">
        <f t="shared" si="6"/>
      </c>
      <c r="L37" s="37">
        <f t="shared" si="6"/>
      </c>
      <c r="N37">
        <f t="shared" si="2"/>
      </c>
      <c r="O37">
        <f t="shared" si="1"/>
      </c>
    </row>
    <row r="38" spans="2:15" x14ac:dyDescent="0.45">
      <c r="B38" t="s">
        <v>116</v>
      </c>
      <c r="C38" s="37">
        <f>IFERROR(365/C31,0)</f>
      </c>
      <c r="D38" s="37">
        <f t="shared" ref="D38:L38" si="7">IFERROR(365/D31,0)</f>
      </c>
      <c r="E38" s="37">
        <f t="shared" si="7"/>
      </c>
      <c r="F38" s="37">
        <f t="shared" si="7"/>
      </c>
      <c r="G38" s="37">
        <f t="shared" si="7"/>
      </c>
      <c r="H38" s="37">
        <f t="shared" si="7"/>
      </c>
      <c r="I38" s="37">
        <f t="shared" si="7"/>
      </c>
      <c r="J38" s="37">
        <f t="shared" si="7"/>
      </c>
      <c r="K38" s="37">
        <f t="shared" si="7"/>
      </c>
      <c r="L38" s="37">
        <f t="shared" si="7"/>
      </c>
      <c r="N38">
        <f t="shared" si="2"/>
      </c>
      <c r="O38">
        <f t="shared" si="1"/>
      </c>
    </row>
    <row r="39" spans="2:15" x14ac:dyDescent="0.45">
      <c r="B39" t="s">
        <v>117</v>
      </c>
      <c r="C39" s="37">
        <f>IFERROR(C37-SUM(C36,C38),0)</f>
      </c>
      <c r="D39" s="37">
        <f t="shared" ref="D39:L39" si="8">IFERROR(D37-SUM(D36,D38),0)</f>
      </c>
      <c r="E39" s="37">
        <f t="shared" si="8"/>
      </c>
      <c r="F39" s="37">
        <f t="shared" si="8"/>
      </c>
      <c r="G39" s="37">
        <f t="shared" si="8"/>
      </c>
      <c r="H39" s="37">
        <f t="shared" si="8"/>
      </c>
      <c r="I39" s="37">
        <f t="shared" si="8"/>
      </c>
      <c r="J39" s="37">
        <f t="shared" si="8"/>
      </c>
      <c r="K39" s="37">
        <f t="shared" si="8"/>
      </c>
      <c r="L39" s="37">
        <f t="shared" si="8"/>
      </c>
      <c r="N39">
        <f t="shared" si="2"/>
      </c>
      <c r="O39">
        <f t="shared" si="1"/>
      </c>
    </row>
    <row r="40" spans="2:15" x14ac:dyDescent="0.45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2:15" x14ac:dyDescent="0.45">
      <c r="B41" t="s">
        <v>121</v>
      </c>
      <c r="C41" s="16">
        <f>IFERROR(HistoricalFS!C70/HistoricalFS!C6,0)</f>
      </c>
      <c r="D41" s="16">
        <f>IFERROR(HistoricalFS!D70/HistoricalFS!D6,0)</f>
      </c>
      <c r="E41" s="16">
        <f>IFERROR(HistoricalFS!E70/HistoricalFS!E6,0)</f>
      </c>
      <c r="F41" s="16">
        <f>IFERROR(HistoricalFS!F70/HistoricalFS!F6,0)</f>
      </c>
      <c r="G41" s="16">
        <f>IFERROR(HistoricalFS!G70/HistoricalFS!G6,0)</f>
      </c>
      <c r="H41" s="16">
        <f>IFERROR(HistoricalFS!H70/HistoricalFS!H6,0)</f>
      </c>
      <c r="I41" s="16">
        <f>IFERROR(HistoricalFS!I70/HistoricalFS!I6,0)</f>
      </c>
      <c r="J41" s="16">
        <f>IFERROR(HistoricalFS!J70/HistoricalFS!J6,0)</f>
      </c>
      <c r="K41" s="16">
        <f>IFERROR(HistoricalFS!K70/HistoricalFS!K6,0)</f>
      </c>
      <c r="L41" s="16">
        <f>IFERROR(HistoricalFS!L70/HistoricalFS!L6,0)</f>
      </c>
      <c r="N41">
        <f t="shared" si="2"/>
      </c>
      <c r="O41">
        <f t="shared" si="1"/>
      </c>
    </row>
    <row r="42" spans="2:15" x14ac:dyDescent="0.45">
      <c r="B42" t="s">
        <v>122</v>
      </c>
      <c r="C42" s="16">
        <f>IFERROR(HistoricalFS!C70/HistoricalFS!C64,0)</f>
      </c>
      <c r="D42" s="16">
        <f>IFERROR(HistoricalFS!D70/HistoricalFS!D64,0)</f>
      </c>
      <c r="E42" s="16">
        <f>IFERROR(HistoricalFS!E70/HistoricalFS!E64,0)</f>
      </c>
      <c r="F42" s="16">
        <f>IFERROR(HistoricalFS!F70/HistoricalFS!F64,0)</f>
      </c>
      <c r="G42" s="16">
        <f>IFERROR(HistoricalFS!G70/HistoricalFS!G64,0)</f>
      </c>
      <c r="H42" s="16">
        <f>IFERROR(HistoricalFS!H70/HistoricalFS!H64,0)</f>
      </c>
      <c r="I42" s="16">
        <f>IFERROR(HistoricalFS!I70/HistoricalFS!I64,0)</f>
      </c>
      <c r="J42" s="16">
        <f>IFERROR(HistoricalFS!J70/HistoricalFS!J64,0)</f>
      </c>
      <c r="K42" s="16">
        <f>IFERROR(HistoricalFS!K70/HistoricalFS!K64,0)</f>
      </c>
      <c r="L42" s="16">
        <f>IFERROR(HistoricalFS!L70/HistoricalFS!L64,0)</f>
      </c>
      <c r="N42">
        <f t="shared" si="2"/>
      </c>
      <c r="O42">
        <f t="shared" si="1"/>
      </c>
    </row>
    <row r="43" spans="2:15" x14ac:dyDescent="0.45">
      <c r="B43" t="s">
        <v>123</v>
      </c>
      <c r="C43" s="16">
        <f>IFERROR(HistoricalFS!C70/HistoricalFS!C49,0)</f>
      </c>
      <c r="D43" s="16">
        <f>IFERROR(HistoricalFS!D70/HistoricalFS!D49,0)</f>
      </c>
      <c r="E43" s="16">
        <f>IFERROR(HistoricalFS!E70/HistoricalFS!E49,0)</f>
      </c>
      <c r="F43" s="16">
        <f>IFERROR(HistoricalFS!F70/HistoricalFS!F49,0)</f>
      </c>
      <c r="G43" s="16">
        <f>IFERROR(HistoricalFS!G70/HistoricalFS!G49,0)</f>
      </c>
      <c r="H43" s="16">
        <f>IFERROR(HistoricalFS!H70/HistoricalFS!H49,0)</f>
      </c>
      <c r="I43" s="16">
        <f>IFERROR(HistoricalFS!I70/HistoricalFS!I49,0)</f>
      </c>
      <c r="J43" s="16">
        <f>IFERROR(HistoricalFS!J70/HistoricalFS!J49,0)</f>
      </c>
      <c r="K43" s="16">
        <f>IFERROR(HistoricalFS!K70/HistoricalFS!K49,0)</f>
      </c>
      <c r="L43" s="16">
        <f>IFERROR(HistoricalFS!L70/HistoricalFS!L49,0)</f>
      </c>
      <c r="N43">
        <f t="shared" si="2"/>
      </c>
      <c r="O43">
        <f t="shared" si="1"/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A8856B1-23BD-4AC4-8022-0625B2EC12CF}">
          <x14:colorSeries rgb="FF376092"/>
          <x14:colorNegative rgb="FFD00000"/>
          <x14:colorAxis rgb="FF000000"/>
          <x14:colorMarkers rgb="FFFF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</x14:sparklines>
        </x14:sparklineGroup>
        <x14:sparklineGroup displayEmptyCellsAs="gap" markers="1" xr2:uid="{1A16AC3B-328F-409E-9FF0-00E3BBFF6BF8}">
          <x14:colorSeries rgb="FF376092"/>
          <x14:colorNegative rgb="FFD00000"/>
          <x14:colorAxis rgb="FF000000"/>
          <x14:colorMarkers rgb="FFFF0000"/>
          <x14:colorFirst rgb="FFD00000"/>
          <x14:colorLast rgb="FFD00000"/>
          <x14:colorHigh rgb="FFD00000"/>
          <x14:colorLow rgb="FFD00000"/>
          <x14:sparklines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  <x14:sparkline>
              <xm:f>'Ratio Analysis'!C42:L42</xm:f>
              <xm:sqref>M42</xm:sqref>
            </x14:sparkline>
            <x14:sparkline>
              <xm:f>'Ratio Analysis'!C43:L43</xm:f>
              <xm:sqref>M43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FC11-D77E-4106-879F-07BA2A52000C}">
  <dimension ref="B3:O21"/>
  <sheetViews>
    <sheetView workbookViewId="0">
      <selection activeCell="N15" sqref="N15:N21"/>
    </sheetView>
  </sheetViews>
  <sheetFormatPr defaultRowHeight="14.25" x14ac:dyDescent="0.45"/>
  <cols>
    <col min="1" max="1" width="1.73046875" customWidth="1"/>
    <col min="2" max="2" width="10.3984375" bestFit="1" customWidth="1"/>
    <col min="3" max="3" width="9.19921875" style="44" bestFit="1" customWidth="1"/>
    <col min="4" max="4" width="9.19921875" bestFit="1" customWidth="1"/>
    <col min="7" max="10" width="15.59765625" customWidth="1"/>
    <col min="15" max="15" width="11.3984375" bestFit="1" customWidth="1"/>
  </cols>
  <sheetData>
    <row r="3" spans="2:15" x14ac:dyDescent="0.45">
      <c r="B3" s="52" t="str">
        <f>'Data Sheet'!B1&amp;" - "&amp;'Data Sheet'!A17</f>
      </c>
      <c r="C3" s="52"/>
      <c r="D3" s="52"/>
      <c r="E3" s="52"/>
      <c r="G3" s="52" t="str">
        <f>'Data Sheet'!B1&amp;" - "&amp;'Data Sheet'!A34&amp;" FORECASTING"</f>
      </c>
      <c r="H3" s="52"/>
      <c r="I3" s="52"/>
      <c r="J3" s="52"/>
      <c r="L3" s="52" t="str">
        <f>'Data Sheet'!B1&amp;" - "&amp;HistoricalFS!B38&amp;" FORECASTING"</f>
      </c>
      <c r="M3" s="52"/>
      <c r="N3" s="52"/>
      <c r="O3" s="52"/>
    </row>
    <row r="4" spans="2:15" x14ac:dyDescent="0.45">
      <c r="B4" s="42" t="s">
        <v>126</v>
      </c>
      <c r="C4" s="43" t="s">
        <v>127</v>
      </c>
      <c r="D4" s="42" t="s">
        <v>12</v>
      </c>
      <c r="E4" s="42" t="s">
        <v>60</v>
      </c>
      <c r="G4" s="42" t="s">
        <v>126</v>
      </c>
      <c r="H4" s="42" t="s">
        <v>127</v>
      </c>
      <c r="I4" s="42" t="s">
        <v>128</v>
      </c>
      <c r="J4" s="42" t="s">
        <v>129</v>
      </c>
      <c r="L4" s="42" t="s">
        <v>126</v>
      </c>
      <c r="M4" s="42" t="s">
        <v>127</v>
      </c>
      <c r="N4" s="42" t="s">
        <v>130</v>
      </c>
      <c r="O4" s="42" t="str">
        <f>N4&amp;" GROWTH"</f>
      </c>
    </row>
    <row r="5" spans="2:15" x14ac:dyDescent="0.45">
      <c r="B5">
        <v>1</v>
      </c>
      <c r="C5" s="45">
        <f>'Data Sheet'!$B$81</f>
      </c>
      <c r="D5" s="46" cm="1">
        <f t="array" ref="D5:D14">TRANSPOSE('Data Sheet'!B17:K17)</f>
      </c>
      <c r="E5" s="47"/>
      <c r="G5">
        <v>1</v>
      </c>
      <c r="H5" s="45">
        <f>'Data Sheet'!$B$16</f>
      </c>
      <c r="I5" s="46">
        <f t="array" ref="I5:I14">TRANSPOSE('Data Sheet'!B34:K34)</f>
      </c>
      <c r="L5">
        <v>1</v>
      </c>
      <c r="M5" s="45">
        <f>'Data Sheet'!$B$16</f>
      </c>
      <c r="N5" s="46">
        <f t="array" ref="N5:N14">TRANSPOSE(HistoricalFS!C38:L38)</f>
      </c>
    </row>
    <row r="6" spans="2:15" x14ac:dyDescent="0.45">
      <c r="B6">
        <f>B5+1</f>
      </c>
      <c r="C6" s="45">
        <f>C5+365</f>
      </c>
      <c r="D6" s="46">
        <v>232833.66</v>
      </c>
      <c r="E6" s="47">
        <f>D6/D5-1</f>
      </c>
      <c r="G6">
        <f>G5+1</f>
      </c>
      <c r="H6" s="45">
        <f>H5+365</f>
      </c>
      <c r="I6" s="46">
        <v>34583.410000000003</v>
      </c>
      <c r="J6" s="16">
        <f>I6/I5-1</f>
      </c>
      <c r="L6">
        <f>L5+1</f>
      </c>
      <c r="M6" s="45">
        <f>M5+365</f>
      </c>
      <c r="N6" s="46">
        <v>49.390351180993186</v>
      </c>
      <c r="O6" s="16">
        <f>N6/N5-1</f>
      </c>
    </row>
    <row r="7" spans="2:15" x14ac:dyDescent="0.45">
      <c r="B7">
        <f t="shared" ref="B7:B21" si="0">B6+1</f>
      </c>
      <c r="C7" s="45">
        <f t="shared" ref="C7:C21" si="1">C6+365</f>
      </c>
      <c r="D7" s="46">
        <v>263158.98</v>
      </c>
      <c r="E7" s="47">
        <f t="shared" ref="E7:E21" si="2">D7/D6-1</f>
      </c>
      <c r="G7">
        <f t="shared" ref="G7:G21" si="3">G6+1</f>
      </c>
      <c r="H7" s="45">
        <f t="shared" ref="H7:H21" si="4">H6+365</f>
      </c>
      <c r="I7" s="46">
        <v>39879.32</v>
      </c>
      <c r="J7" s="16">
        <f t="shared" ref="J7:J21" si="5">I7/I6-1</f>
      </c>
      <c r="L7">
        <f t="shared" ref="L7:L21" si="6">L6+1</f>
      </c>
      <c r="M7" s="45">
        <f t="shared" ref="M7:M21" si="7">M6+365</f>
      </c>
      <c r="N7" s="46">
        <v>46.220198102098706</v>
      </c>
      <c r="O7" s="16">
        <f t="shared" ref="O7:O21" si="8">N7/N6-1</f>
      </c>
    </row>
    <row r="8" spans="2:15" x14ac:dyDescent="0.45">
      <c r="B8">
        <f t="shared" si="0"/>
      </c>
      <c r="C8" s="45">
        <f t="shared" si="1"/>
      </c>
      <c r="D8" s="46">
        <v>273045.59999999998</v>
      </c>
      <c r="E8" s="47">
        <f t="shared" si="2"/>
      </c>
      <c r="G8">
        <f t="shared" si="3"/>
      </c>
      <c r="H8" s="45">
        <f t="shared" si="4"/>
      </c>
      <c r="I8" s="46">
        <v>36204.22</v>
      </c>
      <c r="J8" s="16">
        <f t="shared" si="5"/>
      </c>
      <c r="L8">
        <f t="shared" si="6"/>
      </c>
      <c r="M8" s="45">
        <f t="shared" si="7"/>
      </c>
      <c r="N8" s="46">
        <v>47.694444444444336</v>
      </c>
      <c r="O8" s="16">
        <f t="shared" si="8"/>
      </c>
    </row>
    <row r="9" spans="2:15" x14ac:dyDescent="0.45">
      <c r="B9">
        <f t="shared" si="0"/>
      </c>
      <c r="C9" s="45">
        <f t="shared" si="1"/>
      </c>
      <c r="D9" s="46">
        <v>269692.51</v>
      </c>
      <c r="E9" s="47">
        <f t="shared" si="2"/>
      </c>
      <c r="G9">
        <f t="shared" si="3"/>
      </c>
      <c r="H9" s="45">
        <f t="shared" si="4"/>
      </c>
      <c r="I9" s="46">
        <v>32848.590000000004</v>
      </c>
      <c r="J9" s="16">
        <f t="shared" si="5"/>
      </c>
      <c r="L9">
        <f t="shared" si="6"/>
      </c>
      <c r="M9" s="45">
        <f t="shared" si="7"/>
      </c>
      <c r="N9" s="46">
        <v>14.527274616423808</v>
      </c>
      <c r="O9" s="16">
        <f t="shared" si="8"/>
      </c>
    </row>
    <row r="10" spans="2:15" x14ac:dyDescent="0.45">
      <c r="B10">
        <f t="shared" si="0"/>
      </c>
      <c r="C10" s="45">
        <f t="shared" si="1"/>
      </c>
      <c r="D10" s="46">
        <v>291550.48</v>
      </c>
      <c r="E10" s="47">
        <f t="shared" si="2"/>
      </c>
      <c r="G10">
        <f t="shared" si="3"/>
      </c>
      <c r="H10" s="45">
        <f t="shared" si="4"/>
      </c>
      <c r="I10" s="46">
        <v>39566.22</v>
      </c>
      <c r="J10" s="16">
        <f t="shared" si="5"/>
      </c>
      <c r="L10">
        <f t="shared" si="6"/>
      </c>
      <c r="M10" s="45">
        <f t="shared" si="7"/>
      </c>
      <c r="N10" s="46">
        <v>3.049111626779315</v>
      </c>
      <c r="O10" s="16">
        <f t="shared" si="8"/>
      </c>
    </row>
    <row r="11" spans="2:15" x14ac:dyDescent="0.45">
      <c r="B11">
        <f t="shared" si="0"/>
      </c>
      <c r="C11" s="45">
        <f t="shared" si="1"/>
      </c>
      <c r="D11" s="46">
        <v>301938.40000000002</v>
      </c>
      <c r="E11" s="47">
        <f t="shared" si="2"/>
      </c>
      <c r="G11">
        <f t="shared" si="3"/>
      </c>
      <c r="H11" s="45">
        <f t="shared" si="4"/>
      </c>
      <c r="I11" s="46">
        <v>-1914.4500000000007</v>
      </c>
      <c r="J11" s="16">
        <f t="shared" si="5"/>
      </c>
      <c r="L11">
        <f t="shared" si="6"/>
      </c>
      <c r="M11" s="45">
        <f t="shared" si="7"/>
      </c>
      <c r="N11" s="46">
        <v>-7.7839157690575265</v>
      </c>
      <c r="O11" s="16">
        <f t="shared" si="8"/>
      </c>
    </row>
    <row r="12" spans="2:15" x14ac:dyDescent="0.45">
      <c r="B12">
        <f t="shared" si="0"/>
      </c>
      <c r="C12" s="45">
        <f t="shared" si="1"/>
      </c>
      <c r="D12" s="46">
        <v>261067.97</v>
      </c>
      <c r="E12" s="47">
        <f t="shared" si="2"/>
      </c>
      <c r="G12">
        <f t="shared" si="3"/>
      </c>
      <c r="H12" s="45">
        <f t="shared" si="4"/>
      </c>
      <c r="I12" s="46">
        <v>16993.16</v>
      </c>
      <c r="J12" s="16">
        <f t="shared" si="5"/>
      </c>
      <c r="L12">
        <f t="shared" si="6"/>
      </c>
      <c r="M12" s="45">
        <f t="shared" si="7"/>
      </c>
      <c r="N12" s="46">
        <v>-35.859307219164904</v>
      </c>
      <c r="O12" s="16">
        <f t="shared" si="8"/>
      </c>
    </row>
    <row r="13" spans="2:15" x14ac:dyDescent="0.45">
      <c r="B13">
        <f t="shared" si="0"/>
      </c>
      <c r="C13" s="45">
        <f t="shared" si="1"/>
      </c>
      <c r="D13" s="46">
        <v>249794.75</v>
      </c>
      <c r="E13" s="47">
        <f t="shared" si="2"/>
      </c>
      <c r="G13">
        <f t="shared" si="3"/>
      </c>
      <c r="H13" s="45">
        <f t="shared" si="4"/>
      </c>
      <c r="I13" s="46">
        <v>20734.349999999999</v>
      </c>
      <c r="J13" s="16">
        <f t="shared" si="5"/>
      </c>
      <c r="L13">
        <f t="shared" si="6"/>
      </c>
      <c r="M13" s="45">
        <f t="shared" si="7"/>
      </c>
      <c r="N13" s="46">
        <v>-5.7172845827184542</v>
      </c>
      <c r="O13" s="16">
        <f t="shared" si="8"/>
      </c>
    </row>
    <row r="14" spans="2:15" x14ac:dyDescent="0.45">
      <c r="B14">
        <f t="shared" si="0"/>
      </c>
      <c r="C14" s="45">
        <f t="shared" si="1"/>
      </c>
      <c r="D14" s="46">
        <v>278453.62</v>
      </c>
      <c r="E14" s="47">
        <f t="shared" si="2"/>
      </c>
      <c r="G14">
        <f t="shared" si="3"/>
      </c>
      <c r="H14" s="45">
        <f t="shared" si="4"/>
      </c>
      <c r="I14" s="46">
        <v>26937.37</v>
      </c>
      <c r="J14" s="16">
        <f t="shared" si="5"/>
      </c>
      <c r="L14">
        <f t="shared" si="6"/>
      </c>
      <c r="M14" s="45">
        <f t="shared" si="7"/>
      </c>
      <c r="N14" s="46">
        <v>-41.132140813683833</v>
      </c>
      <c r="O14" s="16">
        <f t="shared" si="8"/>
      </c>
    </row>
    <row r="15" spans="2:15" x14ac:dyDescent="0.45">
      <c r="B15" s="48">
        <f t="shared" si="0"/>
      </c>
      <c r="C15" s="49">
        <f t="shared" si="1"/>
      </c>
      <c r="D15" s="50">
        <f>FORECAST(B15,_xlfn.ANCHORARRAY($D$5),$B$5:$B$14)</f>
      </c>
      <c r="E15" s="51">
        <f t="shared" si="2"/>
      </c>
      <c r="G15" s="48">
        <f t="shared" si="3"/>
      </c>
      <c r="H15" s="49">
        <f t="shared" si="4"/>
      </c>
      <c r="I15" s="50">
        <f>FORECAST(G15,$I$5:$I$14,$G$5:$G$14)</f>
      </c>
      <c r="J15" s="53">
        <f t="shared" si="5"/>
      </c>
      <c r="L15" s="48">
        <f t="shared" si="6"/>
      </c>
      <c r="M15" s="49">
        <f t="shared" si="7"/>
      </c>
      <c r="N15" s="50">
        <f>FORECAST(L15,$N$5:$N$14,$L$5:$L$14)</f>
      </c>
      <c r="O15" s="53">
        <f t="shared" si="8"/>
      </c>
    </row>
    <row r="16" spans="2:15" x14ac:dyDescent="0.45">
      <c r="B16" s="48">
        <f t="shared" si="0"/>
      </c>
      <c r="C16" s="49">
        <f t="shared" si="1"/>
      </c>
      <c r="D16" s="50">
        <f t="shared" ref="D16:D21" si="9">FORECAST(B16,_xlfn.ANCHORARRAY($D$5),$B$5:$B$14)</f>
      </c>
      <c r="E16" s="51">
        <f t="shared" si="2"/>
      </c>
      <c r="G16" s="48">
        <f t="shared" si="3"/>
      </c>
      <c r="H16" s="49">
        <f t="shared" si="4"/>
      </c>
      <c r="I16" s="50">
        <f t="shared" ref="I16:I21" si="10">FORECAST(G16,$I$5:$I$14,$G$5:$G$14)</f>
      </c>
      <c r="J16" s="53">
        <f t="shared" si="5"/>
      </c>
      <c r="L16" s="48">
        <f t="shared" si="6"/>
      </c>
      <c r="M16" s="49">
        <f t="shared" si="7"/>
      </c>
      <c r="N16" s="50">
        <f t="shared" ref="N16:N21" si="11">FORECAST(L16,$N$5:$N$14,$L$5:$L$14)</f>
      </c>
      <c r="O16" s="53">
        <f t="shared" si="8"/>
      </c>
    </row>
    <row r="17" spans="2:15" x14ac:dyDescent="0.45">
      <c r="B17" s="48">
        <f>B16+1</f>
      </c>
      <c r="C17" s="49">
        <f t="shared" si="1"/>
      </c>
      <c r="D17" s="50">
        <f t="shared" si="9"/>
      </c>
      <c r="E17" s="51">
        <f t="shared" si="2"/>
      </c>
      <c r="G17" s="48">
        <f t="shared" si="3"/>
      </c>
      <c r="H17" s="49">
        <f t="shared" si="4"/>
      </c>
      <c r="I17" s="50">
        <f t="shared" si="10"/>
      </c>
      <c r="J17" s="53">
        <f t="shared" si="5"/>
      </c>
      <c r="L17" s="48">
        <f t="shared" si="6"/>
      </c>
      <c r="M17" s="49">
        <f t="shared" si="7"/>
      </c>
      <c r="N17" s="50">
        <f t="shared" si="11"/>
      </c>
      <c r="O17" s="53">
        <f t="shared" si="8"/>
      </c>
    </row>
    <row r="18" spans="2:15" x14ac:dyDescent="0.45">
      <c r="B18" s="48">
        <f t="shared" si="0"/>
      </c>
      <c r="C18" s="49">
        <f t="shared" si="1"/>
      </c>
      <c r="D18" s="50">
        <f t="shared" si="9"/>
      </c>
      <c r="E18" s="51">
        <f t="shared" si="2"/>
      </c>
      <c r="G18" s="48">
        <f t="shared" si="3"/>
      </c>
      <c r="H18" s="49">
        <f t="shared" si="4"/>
      </c>
      <c r="I18" s="50">
        <f t="shared" si="10"/>
      </c>
      <c r="J18" s="53">
        <f t="shared" si="5"/>
      </c>
      <c r="L18" s="48">
        <f t="shared" si="6"/>
      </c>
      <c r="M18" s="49">
        <f t="shared" si="7"/>
      </c>
      <c r="N18" s="50">
        <f t="shared" si="11"/>
      </c>
      <c r="O18" s="53">
        <f t="shared" si="8"/>
      </c>
    </row>
    <row r="19" spans="2:15" x14ac:dyDescent="0.45">
      <c r="B19" s="48">
        <f t="shared" si="0"/>
      </c>
      <c r="C19" s="49">
        <f t="shared" si="1"/>
      </c>
      <c r="D19" s="50">
        <f t="shared" si="9"/>
      </c>
      <c r="E19" s="51">
        <f t="shared" si="2"/>
      </c>
      <c r="G19" s="48">
        <f t="shared" si="3"/>
      </c>
      <c r="H19" s="49">
        <f t="shared" si="4"/>
      </c>
      <c r="I19" s="50">
        <f t="shared" si="10"/>
      </c>
      <c r="J19" s="53">
        <f t="shared" si="5"/>
      </c>
      <c r="L19" s="48">
        <f t="shared" si="6"/>
      </c>
      <c r="M19" s="49">
        <f t="shared" si="7"/>
      </c>
      <c r="N19" s="50">
        <f t="shared" si="11"/>
      </c>
      <c r="O19" s="53">
        <f t="shared" si="8"/>
      </c>
    </row>
    <row r="20" spans="2:15" x14ac:dyDescent="0.45">
      <c r="B20" s="48">
        <f t="shared" si="0"/>
      </c>
      <c r="C20" s="49">
        <f t="shared" si="1"/>
      </c>
      <c r="D20" s="50">
        <f t="shared" si="9"/>
      </c>
      <c r="E20" s="51">
        <f t="shared" si="2"/>
      </c>
      <c r="G20" s="48">
        <f t="shared" si="3"/>
      </c>
      <c r="H20" s="49">
        <f t="shared" si="4"/>
      </c>
      <c r="I20" s="50">
        <f t="shared" si="10"/>
      </c>
      <c r="J20" s="53">
        <f t="shared" si="5"/>
      </c>
      <c r="L20" s="48">
        <f t="shared" si="6"/>
      </c>
      <c r="M20" s="49">
        <f t="shared" si="7"/>
      </c>
      <c r="N20" s="50">
        <f t="shared" si="11"/>
      </c>
      <c r="O20" s="53">
        <f t="shared" si="8"/>
      </c>
    </row>
    <row r="21" spans="2:15" x14ac:dyDescent="0.45">
      <c r="B21" s="48">
        <f t="shared" si="0"/>
      </c>
      <c r="C21" s="49">
        <f t="shared" si="1"/>
      </c>
      <c r="D21" s="50">
        <f t="shared" si="9"/>
      </c>
      <c r="E21" s="51">
        <f t="shared" si="2"/>
      </c>
      <c r="G21" s="48">
        <f t="shared" si="3"/>
      </c>
      <c r="H21" s="49">
        <f t="shared" si="4"/>
      </c>
      <c r="I21" s="50">
        <f t="shared" si="10"/>
      </c>
      <c r="J21" s="53">
        <f t="shared" si="5"/>
      </c>
      <c r="L21" s="48">
        <f t="shared" si="6"/>
      </c>
      <c r="M21" s="49">
        <f t="shared" si="7"/>
      </c>
      <c r="N21" s="50">
        <f t="shared" si="11"/>
      </c>
      <c r="O21" s="53">
        <f t="shared" si="8"/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8F4-35F9-440F-B28A-35F728E0E20C}">
  <dimension ref="A1"/>
  <sheetViews>
    <sheetView workbookViewId="0">
      <selection activeCell="F6" sqref="F6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E03-A4D1-4083-BC79-5563763A6FED}">
  <dimension ref="B2:M3"/>
  <sheetViews>
    <sheetView showGridLines="0" workbookViewId="0">
      <selection activeCell="B5" sqref="B5"/>
    </sheetView>
  </sheetViews>
  <sheetFormatPr defaultRowHeight="14.25" x14ac:dyDescent="0.45"/>
  <cols>
    <col min="1" max="1" width="1.86328125" customWidth="1"/>
  </cols>
  <sheetData>
    <row r="2" spans="2:13" x14ac:dyDescent="0.45">
      <c r="B2" s="39" t="str">
        <f>"Peer Analysis - "&amp;'Data Sheet'!B1</f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2:13" x14ac:dyDescent="0.45">
      <c r="B3" s="11" t="s">
        <v>120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</sheetData>
  <mergeCells count="1"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D26" sqref="D26"/>
    </sheetView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sheetPr>
    <tabColor rgb="FFFF0000"/>
  </sheetPr>
  <dimension ref="A1:L93"/>
  <sheetViews>
    <sheetView workbookViewId="0">
      <pane xSplit="1" ySplit="1" topLeftCell="B8" activePane="bottomRight" state="frozen"/>
      <selection activeCell="C4" sqref="C4"/>
      <selection pane="topRight" activeCell="C4" sqref="C4"/>
      <selection pane="bottomLeft" activeCell="C4" sqref="C4"/>
      <selection pane="bottomRight" activeCell="C80" sqref="C80"/>
    </sheetView>
  </sheetViews>
  <sheetFormatPr defaultColWidth="10.3984375" defaultRowHeight="12.75" x14ac:dyDescent="0.35"/>
  <cols>
    <col min="1" max="1" width="26.73046875" style="2" bestFit="1" customWidth="1"/>
    <col min="2" max="11" width="11.3984375" style="2" bestFit="1" customWidth="1"/>
    <col min="12" max="16384" width="10.3984375" style="2"/>
  </cols>
  <sheetData>
    <row r="1" spans="1:11" s="1" customFormat="1" ht="13.15" x14ac:dyDescent="0.4">
      <c r="A1" s="1" t="s">
        <v>0</v>
      </c>
      <c r="B1" s="1" t="s">
        <v>1</v>
      </c>
      <c r="E1" s="40" t="str">
        <f>IF(B2&lt;&gt;B3, "A NEW VERSION OF THE WORKSHEET IS AVAILABLE", "")</f>
      </c>
      <c r="F1" s="40"/>
      <c r="G1" s="40"/>
      <c r="H1" s="40"/>
      <c r="I1" s="40"/>
      <c r="J1" s="40"/>
      <c r="K1" s="40"/>
    </row>
    <row r="2" spans="1:11" ht="13.15" x14ac:dyDescent="0.4">
      <c r="A2" s="1" t="s">
        <v>2</v>
      </c>
      <c r="B2" s="2">
        <v>2.1</v>
      </c>
      <c r="E2" s="41" t="s">
        <v>3</v>
      </c>
      <c r="F2" s="41"/>
      <c r="G2" s="41"/>
      <c r="H2" s="41"/>
      <c r="I2" s="41"/>
      <c r="J2" s="41"/>
      <c r="K2" s="41"/>
    </row>
    <row r="3" spans="1:11" ht="13.15" x14ac:dyDescent="0.4">
      <c r="A3" s="1" t="s">
        <v>4</v>
      </c>
      <c r="B3" s="2">
        <v>2.1</v>
      </c>
    </row>
    <row r="4" spans="1:11" ht="13.15" x14ac:dyDescent="0.4">
      <c r="A4" s="1"/>
    </row>
    <row r="5" spans="1:11" ht="13.15" x14ac:dyDescent="0.4">
      <c r="A5" s="1" t="s">
        <v>5</v>
      </c>
    </row>
    <row r="6" spans="1:11" x14ac:dyDescent="0.35">
      <c r="A6" s="2" t="s">
        <v>6</v>
      </c>
      <c r="B6" s="2">
        <f>IF(B9&gt;0, B9/B8, 0)</f>
      </c>
    </row>
    <row r="7" spans="1:11" x14ac:dyDescent="0.35">
      <c r="A7" s="2" t="s">
        <v>7</v>
      </c>
      <c r="B7" s="3">
        <v>10.00</v>
      </c>
    </row>
    <row r="8" spans="1:11" x14ac:dyDescent="0.35">
      <c r="A8" s="2" t="s">
        <v>8</v>
      </c>
      <c r="B8" s="3">
        <v>417.15</v>
      </c>
    </row>
    <row r="9" spans="1:11" x14ac:dyDescent="0.35">
      <c r="A9" s="2" t="s">
        <v>9</v>
      </c>
      <c r="B9" s="3">
        <v>88762.12</v>
      </c>
    </row>
    <row r="15" spans="1:11" ht="13.15" x14ac:dyDescent="0.4">
      <c r="A15" s="1" t="s">
        <v>10</v>
      </c>
      <c r="B15" s="2">
        <f>B26+B34</f>
      </c>
      <c r="K15" s="2">
        <f>K17-K18-K20-K21-K22-K23-K19</f>
      </c>
    </row>
    <row r="16" spans="1:11" s="6" customFormat="1" ht="13.15" x14ac:dyDescent="0.4">
      <c r="A16" s="4" t="s">
        <v>11</v>
      </c>
      <c r="B16" s="5">
        <v>42094.0</v>
      </c>
      <c r="C16" s="5">
        <v>42460.0</v>
      </c>
      <c r="D16" s="5">
        <v>42825.0</v>
      </c>
      <c r="E16" s="5">
        <v>43190.0</v>
      </c>
      <c r="F16" s="5">
        <v>43555.0</v>
      </c>
      <c r="G16" s="5">
        <v>43921.0</v>
      </c>
      <c r="H16" s="5">
        <v>44286.0</v>
      </c>
      <c r="I16" s="5">
        <v>44651.0</v>
      </c>
      <c r="J16" s="5">
        <v>45016.0</v>
      </c>
      <c r="K16" s="5">
        <v>45382.0</v>
      </c>
    </row>
    <row r="17" spans="1:11" x14ac:dyDescent="0.35">
      <c r="A17" s="2" t="s">
        <v>12</v>
      </c>
      <c r="B17" s="3">
        <v>216648.08</v>
      </c>
      <c r="C17" s="3">
        <v>177910.22</v>
      </c>
      <c r="D17" s="3">
        <v>187492.89</v>
      </c>
      <c r="E17" s="3">
        <v>219509.87</v>
      </c>
      <c r="F17" s="3">
        <v>275490.64</v>
      </c>
      <c r="G17" s="3">
        <v>269091.53</v>
      </c>
      <c r="H17" s="3">
        <v>233248.45</v>
      </c>
      <c r="I17" s="3">
        <v>349913.18</v>
      </c>
      <c r="J17" s="3">
        <v>440709.25</v>
      </c>
      <c r="K17" s="3">
        <v>433856.51</v>
      </c>
    </row>
    <row r="18" spans="1:11" ht="14.25" x14ac:dyDescent="0.45">
      <c r="A18" s="2" t="s">
        <v>13</v>
      </c>
      <c r="B18" s="7">
        <v>193952.05</v>
      </c>
      <c r="C18" s="7">
        <v>156867.35</v>
      </c>
      <c r="D18" s="7">
        <v>167744.89</v>
      </c>
      <c r="E18" s="7">
        <v>193570.51</v>
      </c>
      <c r="F18" s="7">
        <v>250030.0</v>
      </c>
      <c r="G18" s="7">
        <v>246817.86</v>
      </c>
      <c r="H18" s="7">
        <v>208759.1</v>
      </c>
      <c r="I18" s="7">
        <v>322352.06</v>
      </c>
      <c r="J18" s="7">
        <v>425415.65</v>
      </c>
      <c r="K18" s="7">
        <v>389920.28</v>
      </c>
    </row>
    <row r="19" spans="1:11" ht="14.25" x14ac:dyDescent="0.45">
      <c r="A19" s="2" t="s">
        <v>14</v>
      </c>
      <c r="B19" s="7">
        <v>-5078.44</v>
      </c>
      <c r="C19" s="7">
        <v>-64.16</v>
      </c>
      <c r="D19" s="7">
        <v>4362.52</v>
      </c>
      <c r="E19" s="7">
        <v>-666.0</v>
      </c>
      <c r="F19" s="7">
        <v>2224.24</v>
      </c>
      <c r="G19" s="7">
        <v>354.51</v>
      </c>
      <c r="H19" s="7">
        <v>8518.53</v>
      </c>
      <c r="I19" s="7">
        <v>625.88</v>
      </c>
      <c r="J19" s="7">
        <v>-1381.58</v>
      </c>
      <c r="K19" s="7">
        <v>2732.49</v>
      </c>
    </row>
    <row r="20" spans="1:11" x14ac:dyDescent="0.35">
      <c r="A20" s="2" t="s">
        <v>15</v>
      </c>
      <c r="B20" s="3">
        <v>926.11</v>
      </c>
      <c r="C20" s="3">
        <v>1011.53</v>
      </c>
      <c r="D20" s="3">
        <v>875.84</v>
      </c>
      <c r="E20" s="3">
        <v>1155.83</v>
      </c>
      <c r="F20" s="3">
        <v>1395.38</v>
      </c>
      <c r="G20" s="3">
        <v>1330.39</v>
      </c>
      <c r="H20" s="3">
        <v>1231.76</v>
      </c>
      <c r="I20" s="3">
        <v>1142.22</v>
      </c>
      <c r="J20" s="3">
        <v>1041.84</v>
      </c>
      <c r="K20" s="3">
        <v>1690.65</v>
      </c>
    </row>
    <row r="21" spans="1:11" x14ac:dyDescent="0.35">
      <c r="A21" s="2" t="s">
        <v>16</v>
      </c>
      <c r="B21" s="3">
        <v>2928.38</v>
      </c>
      <c r="C21" s="3">
        <v>6638.38</v>
      </c>
      <c r="D21" s="3">
        <v>7112.13</v>
      </c>
      <c r="E21" s="3">
        <v>7731.5</v>
      </c>
      <c r="F21" s="3">
        <v>8272.92</v>
      </c>
      <c r="G21" s="3">
        <v>8491.13</v>
      </c>
      <c r="H21" s="3">
        <v>8498.82</v>
      </c>
      <c r="I21" s="3">
        <v>9666.41</v>
      </c>
      <c r="J21" s="3">
        <v>10769.32</v>
      </c>
      <c r="K21" s="3">
        <v>11567.24</v>
      </c>
    </row>
    <row r="22" spans="1:11" x14ac:dyDescent="0.35">
      <c r="A22" s="2" t="s">
        <v>17</v>
      </c>
      <c r="B22" s="3">
        <v>2593.11</v>
      </c>
      <c r="C22" s="3">
        <v>2339.31</v>
      </c>
      <c r="D22" s="3">
        <v>2969.35</v>
      </c>
      <c r="E22" s="3">
        <v>2892.57</v>
      </c>
      <c r="F22" s="3">
        <v>2971.24</v>
      </c>
      <c r="G22" s="3">
        <v>3224.06</v>
      </c>
      <c r="H22" s="3">
        <v>3219.42</v>
      </c>
      <c r="I22" s="3">
        <v>3017.35</v>
      </c>
      <c r="J22" s="3">
        <v>3000.67</v>
      </c>
      <c r="K22" s="3">
        <v>3469.74</v>
      </c>
    </row>
    <row r="23" spans="1:11" x14ac:dyDescent="0.35">
      <c r="A23" s="2" t="s">
        <v>18</v>
      </c>
      <c r="B23" s="3">
        <v>6411.62</v>
      </c>
      <c r="C23" s="3">
        <v>1674.4</v>
      </c>
      <c r="D23" s="3">
        <v>1568.32</v>
      </c>
      <c r="E23" s="3">
        <v>1853.82</v>
      </c>
      <c r="F23" s="3">
        <v>1773.94</v>
      </c>
      <c r="G23" s="3">
        <v>1636.87</v>
      </c>
      <c r="H23" s="3">
        <v>1841.78</v>
      </c>
      <c r="I23" s="3">
        <v>2382.65</v>
      </c>
      <c r="J23" s="3">
        <v>2716.57</v>
      </c>
      <c r="K23" s="3">
        <v>2802.24</v>
      </c>
    </row>
    <row r="24" spans="1:11" x14ac:dyDescent="0.35">
      <c r="A24" s="2" t="s">
        <v>19</v>
      </c>
      <c r="B24" s="3">
        <v>25.8</v>
      </c>
      <c r="C24" s="3">
        <v>980.3</v>
      </c>
      <c r="D24" s="3">
        <v>698.68</v>
      </c>
      <c r="E24" s="3">
        <v>861.87</v>
      </c>
      <c r="F24" s="3">
        <v>1744.11</v>
      </c>
      <c r="G24" s="3">
        <v>2741.41</v>
      </c>
      <c r="H24" s="3">
        <v>2161.57</v>
      </c>
      <c r="I24" s="3">
        <v>1734.04</v>
      </c>
      <c r="J24" s="3">
        <v>3590.7</v>
      </c>
      <c r="K24" s="3">
        <v>2211.07</v>
      </c>
    </row>
    <row r="25" spans="1:11" x14ac:dyDescent="0.35">
      <c r="A25" s="2" t="s">
        <v>20</v>
      </c>
      <c r="B25" s="3">
        <v>1835.95</v>
      </c>
      <c r="C25" s="3">
        <v>1969.58</v>
      </c>
      <c r="D25" s="3">
        <v>3696.83</v>
      </c>
      <c r="E25" s="3">
        <v>2784.65</v>
      </c>
      <c r="F25" s="3">
        <v>2382.85</v>
      </c>
      <c r="G25" s="3">
        <v>678.69</v>
      </c>
      <c r="H25" s="3">
        <v>2731.22</v>
      </c>
      <c r="I25" s="3">
        <v>3896.97</v>
      </c>
      <c r="J25" s="3">
        <v>3957.42</v>
      </c>
      <c r="K25" s="3">
        <v>3724.92</v>
      </c>
    </row>
    <row r="26" spans="1:11" x14ac:dyDescent="0.35">
      <c r="A26" s="2" t="s">
        <v>21</v>
      </c>
      <c r="B26" s="3">
        <v>2496.68</v>
      </c>
      <c r="C26" s="3">
        <v>2846.09</v>
      </c>
      <c r="D26" s="3">
        <v>2776.37</v>
      </c>
      <c r="E26" s="3">
        <v>2834.4</v>
      </c>
      <c r="F26" s="3">
        <v>3085.3</v>
      </c>
      <c r="G26" s="3">
        <v>3369.87</v>
      </c>
      <c r="H26" s="3">
        <v>3625.47</v>
      </c>
      <c r="I26" s="3">
        <v>4000.36</v>
      </c>
      <c r="J26" s="3">
        <v>4560.15</v>
      </c>
      <c r="K26" s="3">
        <v>5596.43</v>
      </c>
    </row>
    <row r="27" spans="1:11" ht="14.25" x14ac:dyDescent="0.45">
      <c r="A27" s="2" t="s">
        <v>22</v>
      </c>
      <c r="B27" s="3">
        <v>1841.15</v>
      </c>
      <c r="C27" s="3">
        <v>723.18</v>
      </c>
      <c r="D27" s="3">
        <v>609.24</v>
      </c>
      <c r="E27" s="3">
        <v>617.88</v>
      </c>
      <c r="F27" s="3">
        <v>785.64</v>
      </c>
      <c r="G27" s="3">
        <v>1138.85</v>
      </c>
      <c r="H27" s="3">
        <v>963.28</v>
      </c>
      <c r="I27" s="3">
        <v>997.32</v>
      </c>
      <c r="J27" s="7">
        <v>2174.11</v>
      </c>
      <c r="K27" s="7">
        <v>2556.0</v>
      </c>
    </row>
    <row r="28" spans="1:11" x14ac:dyDescent="0.35">
      <c r="A28" s="2" t="s">
        <v>23</v>
      </c>
      <c r="B28" s="3">
        <v>2230.69</v>
      </c>
      <c r="C28" s="3">
        <v>6735.1</v>
      </c>
      <c r="D28" s="3">
        <v>11197.42</v>
      </c>
      <c r="E28" s="3">
        <v>10110.14</v>
      </c>
      <c r="F28" s="3">
        <v>10039.2</v>
      </c>
      <c r="G28" s="3">
        <v>1374.29</v>
      </c>
      <c r="H28" s="3">
        <v>14197.0</v>
      </c>
      <c r="I28" s="3">
        <v>9143.62</v>
      </c>
      <c r="J28" s="3">
        <v>-9983.92</v>
      </c>
      <c r="K28" s="3">
        <v>20500.27</v>
      </c>
    </row>
    <row r="29" spans="1:11" x14ac:dyDescent="0.35">
      <c r="A29" s="2" t="s">
        <v>24</v>
      </c>
      <c r="B29" s="3">
        <v>741.82</v>
      </c>
      <c r="C29" s="3">
        <v>2060.41</v>
      </c>
      <c r="D29" s="3">
        <v>2961.6</v>
      </c>
      <c r="E29" s="3">
        <v>2891.86</v>
      </c>
      <c r="F29" s="3">
        <v>3348.57</v>
      </c>
      <c r="G29" s="3">
        <v>-1264.44</v>
      </c>
      <c r="H29" s="3">
        <v>3534.11</v>
      </c>
      <c r="I29" s="3">
        <v>1849.39</v>
      </c>
      <c r="J29" s="3">
        <v>-3003.69</v>
      </c>
      <c r="K29" s="3">
        <v>4485.66</v>
      </c>
    </row>
    <row r="30" spans="1:11" x14ac:dyDescent="0.35">
      <c r="A30" s="2" t="s">
        <v>25</v>
      </c>
      <c r="B30" s="3">
        <v>1498.58</v>
      </c>
      <c r="C30" s="3">
        <v>4674.69</v>
      </c>
      <c r="D30" s="3">
        <v>8235.82</v>
      </c>
      <c r="E30" s="3">
        <v>7218.28</v>
      </c>
      <c r="F30" s="3">
        <v>6690.63</v>
      </c>
      <c r="G30" s="3">
        <v>2638.73</v>
      </c>
      <c r="H30" s="3">
        <v>10662.89</v>
      </c>
      <c r="I30" s="3">
        <v>7294.23</v>
      </c>
      <c r="J30" s="3">
        <v>-6980.23</v>
      </c>
      <c r="K30" s="3">
        <v>16014.61</v>
      </c>
    </row>
    <row r="31" spans="1:11" x14ac:dyDescent="0.35">
      <c r="A31" s="2" t="s">
        <v>26</v>
      </c>
      <c r="B31" s="3">
        <v>830.57</v>
      </c>
      <c r="C31" s="3">
        <v>1169.58</v>
      </c>
      <c r="D31" s="3">
        <v>3048.81</v>
      </c>
      <c r="E31" s="3">
        <v>2591.16</v>
      </c>
      <c r="F31" s="3">
        <v>2423.49</v>
      </c>
      <c r="G31" s="3">
        <v>1486.1</v>
      </c>
      <c r="H31" s="3">
        <v>3304.23</v>
      </c>
      <c r="I31" s="3">
        <v>1986.52</v>
      </c>
      <c r="J31" s="3"/>
      <c r="K31" s="3">
        <v>4469.66</v>
      </c>
    </row>
    <row r="32" spans="1:11" x14ac:dyDescent="0.35">
      <c r="A32" s="2" t="s">
        <v>27</v>
      </c>
      <c r="B32" s="8">
        <f>B29/B28</f>
      </c>
      <c r="C32" s="8">
        <f t="shared" ref="C32:K32" si="0">C29/C28</f>
      </c>
      <c r="D32" s="8">
        <f t="shared" si="0"/>
      </c>
      <c r="E32" s="8">
        <f t="shared" si="0"/>
      </c>
      <c r="F32" s="8">
        <f t="shared" si="0"/>
      </c>
      <c r="G32" s="8">
        <f t="shared" si="0"/>
      </c>
      <c r="H32" s="8">
        <f t="shared" si="0"/>
      </c>
      <c r="I32" s="8">
        <f t="shared" si="0"/>
      </c>
      <c r="J32" s="8">
        <f t="shared" si="0"/>
      </c>
      <c r="K32" s="8">
        <f t="shared" si="0"/>
      </c>
    </row>
    <row r="34" spans="1:11" x14ac:dyDescent="0.35">
      <c r="A34" s="2" t="s">
        <v>28</v>
      </c>
      <c r="B34" s="2">
        <f>+B30+B29+B27+B26</f>
      </c>
      <c r="C34" s="2">
        <f t="shared" ref="C34:K34" si="1">+C30+C29+C27+C26</f>
      </c>
      <c r="D34" s="2">
        <f t="shared" si="1"/>
      </c>
      <c r="E34" s="2">
        <f t="shared" si="1"/>
      </c>
      <c r="F34" s="2">
        <f t="shared" si="1"/>
      </c>
      <c r="G34" s="2">
        <f t="shared" si="1"/>
      </c>
      <c r="H34" s="2">
        <f t="shared" si="1"/>
      </c>
      <c r="I34" s="2">
        <f t="shared" si="1"/>
      </c>
      <c r="J34" s="2">
        <f t="shared" si="1"/>
      </c>
      <c r="K34" s="2">
        <f t="shared" si="1"/>
      </c>
    </row>
    <row r="40" spans="1:11" ht="13.15" x14ac:dyDescent="0.4">
      <c r="A40" s="1" t="s">
        <v>29</v>
      </c>
    </row>
    <row r="41" spans="1:11" s="6" customFormat="1" ht="13.15" x14ac:dyDescent="0.4">
      <c r="A41" s="4" t="s">
        <v>11</v>
      </c>
      <c r="B41" s="5">
        <v>44651.0</v>
      </c>
      <c r="C41" s="5">
        <v>44742.0</v>
      </c>
      <c r="D41" s="5">
        <v>44834.0</v>
      </c>
      <c r="E41" s="5">
        <v>44926.0</v>
      </c>
      <c r="F41" s="5">
        <v>45016.0</v>
      </c>
      <c r="G41" s="5">
        <v>45107.0</v>
      </c>
      <c r="H41" s="5">
        <v>45199.0</v>
      </c>
      <c r="I41" s="5">
        <v>45291.0</v>
      </c>
      <c r="J41" s="5">
        <v>45382.0</v>
      </c>
      <c r="K41" s="5">
        <v>45473.0</v>
      </c>
    </row>
    <row r="42" spans="1:11" x14ac:dyDescent="0.35">
      <c r="A42" s="2" t="s">
        <v>12</v>
      </c>
      <c r="B42" s="3">
        <v>97634.75</v>
      </c>
      <c r="C42" s="3">
        <v>114502.35</v>
      </c>
      <c r="D42" s="3">
        <v>108462.49</v>
      </c>
      <c r="E42" s="3">
        <v>109687.96</v>
      </c>
      <c r="F42" s="3">
        <v>108056.45</v>
      </c>
      <c r="G42" s="3">
        <v>112079.16</v>
      </c>
      <c r="H42" s="3">
        <v>95751.97</v>
      </c>
      <c r="I42" s="3">
        <v>111347.75</v>
      </c>
      <c r="J42" s="3">
        <v>114677.63</v>
      </c>
      <c r="K42" s="3">
        <v>113888.28</v>
      </c>
    </row>
    <row r="43" spans="1:11" x14ac:dyDescent="0.35">
      <c r="A43" s="2" t="s">
        <v>30</v>
      </c>
      <c r="B43" s="3">
        <v>94829.08</v>
      </c>
      <c r="C43" s="3">
        <v>126998.49</v>
      </c>
      <c r="D43" s="3">
        <v>110233.16</v>
      </c>
      <c r="E43" s="3">
        <v>108013.94</v>
      </c>
      <c r="F43" s="3">
        <v>102926.71</v>
      </c>
      <c r="G43" s="3">
        <v>102433.54</v>
      </c>
      <c r="H43" s="3">
        <v>87511.96</v>
      </c>
      <c r="I43" s="3">
        <v>109187.34</v>
      </c>
      <c r="J43" s="3">
        <v>109795.89</v>
      </c>
      <c r="K43" s="3">
        <v>111799.54</v>
      </c>
    </row>
    <row r="44" spans="1:11" x14ac:dyDescent="0.35">
      <c r="A44" s="2" t="s">
        <v>20</v>
      </c>
      <c r="B44" s="3">
        <v>1111.73</v>
      </c>
      <c r="C44" s="3">
        <v>2011.25</v>
      </c>
      <c r="D44" s="3">
        <v>280.17</v>
      </c>
      <c r="E44" s="3">
        <v>563.89</v>
      </c>
      <c r="F44" s="3">
        <v>1358.08</v>
      </c>
      <c r="G44" s="3">
        <v>1299.2</v>
      </c>
      <c r="H44" s="3">
        <v>1040.35</v>
      </c>
      <c r="I44" s="3">
        <v>790.97</v>
      </c>
      <c r="J44" s="3">
        <v>594.4</v>
      </c>
      <c r="K44" s="3">
        <v>933.34</v>
      </c>
    </row>
    <row r="45" spans="1:11" x14ac:dyDescent="0.35">
      <c r="A45" s="2" t="s">
        <v>21</v>
      </c>
      <c r="B45" s="3">
        <v>1079.4</v>
      </c>
      <c r="C45" s="3">
        <v>1105.95</v>
      </c>
      <c r="D45" s="3">
        <v>1093.55</v>
      </c>
      <c r="E45" s="3">
        <v>1122.82</v>
      </c>
      <c r="F45" s="3">
        <v>1237.83</v>
      </c>
      <c r="G45" s="3">
        <v>1371.45</v>
      </c>
      <c r="H45" s="3">
        <v>1247.31</v>
      </c>
      <c r="I45" s="3">
        <v>1345.44</v>
      </c>
      <c r="J45" s="3">
        <v>1632.23</v>
      </c>
      <c r="K45" s="3">
        <v>1483.6</v>
      </c>
    </row>
    <row r="46" spans="1:11" ht="14.25" x14ac:dyDescent="0.45">
      <c r="A46" s="2" t="s">
        <v>22</v>
      </c>
      <c r="B46" s="7">
        <v>334.78</v>
      </c>
      <c r="C46" s="7">
        <v>340.19</v>
      </c>
      <c r="D46" s="7">
        <v>603.33</v>
      </c>
      <c r="E46" s="7">
        <v>693.47</v>
      </c>
      <c r="F46" s="7">
        <v>537.12</v>
      </c>
      <c r="G46" s="7">
        <v>626.82</v>
      </c>
      <c r="H46" s="7">
        <v>590.05</v>
      </c>
      <c r="I46" s="7">
        <v>619.5</v>
      </c>
      <c r="J46" s="7">
        <v>719.63</v>
      </c>
      <c r="K46" s="7">
        <v>733.41</v>
      </c>
    </row>
    <row r="47" spans="1:11" x14ac:dyDescent="0.35">
      <c r="A47" s="2" t="s">
        <v>23</v>
      </c>
      <c r="B47" s="3">
        <v>2503.22</v>
      </c>
      <c r="C47" s="3">
        <v>-11931.03</v>
      </c>
      <c r="D47" s="3">
        <v>-3187.38</v>
      </c>
      <c r="E47" s="3">
        <v>421.62</v>
      </c>
      <c r="F47" s="3">
        <v>4712.87</v>
      </c>
      <c r="G47" s="3">
        <v>8946.55</v>
      </c>
      <c r="H47" s="3">
        <v>7443.0</v>
      </c>
      <c r="I47" s="3">
        <v>986.44</v>
      </c>
      <c r="J47" s="3">
        <v>3124.28</v>
      </c>
      <c r="K47" s="3">
        <v>805.07</v>
      </c>
    </row>
    <row r="48" spans="1:11" x14ac:dyDescent="0.35">
      <c r="A48" s="2" t="s">
        <v>24</v>
      </c>
      <c r="B48" s="3">
        <v>484.77</v>
      </c>
      <c r="C48" s="3">
        <v>-3373.91</v>
      </c>
      <c r="D48" s="3">
        <v>-711.69</v>
      </c>
      <c r="E48" s="3">
        <v>-22.64</v>
      </c>
      <c r="F48" s="3">
        <v>1104.55</v>
      </c>
      <c r="G48" s="3">
        <v>2181.05</v>
      </c>
      <c r="H48" s="3">
        <v>1616.04</v>
      </c>
      <c r="I48" s="3">
        <v>273.6</v>
      </c>
      <c r="J48" s="3">
        <v>414.97</v>
      </c>
      <c r="K48" s="3">
        <v>171.13</v>
      </c>
    </row>
    <row r="49" spans="1:11" x14ac:dyDescent="0.35">
      <c r="A49" s="2" t="s">
        <v>25</v>
      </c>
      <c r="B49" s="3">
        <v>2018.45</v>
      </c>
      <c r="C49" s="3">
        <v>-8557.12</v>
      </c>
      <c r="D49" s="3">
        <v>-2475.69</v>
      </c>
      <c r="E49" s="3">
        <v>444.26</v>
      </c>
      <c r="F49" s="3">
        <v>3608.32</v>
      </c>
      <c r="G49" s="3">
        <v>6765.5</v>
      </c>
      <c r="H49" s="3">
        <v>5826.96</v>
      </c>
      <c r="I49" s="3">
        <v>712.84</v>
      </c>
      <c r="J49" s="3">
        <v>2709.31</v>
      </c>
      <c r="K49" s="3">
        <v>633.94</v>
      </c>
    </row>
    <row r="50" spans="1:11" x14ac:dyDescent="0.35">
      <c r="A50" s="2" t="s">
        <v>31</v>
      </c>
      <c r="B50" s="3">
        <v>2805.67</v>
      </c>
      <c r="C50" s="3">
        <v>-12496.14</v>
      </c>
      <c r="D50" s="3">
        <v>-1770.67</v>
      </c>
      <c r="E50" s="3">
        <v>1674.02</v>
      </c>
      <c r="F50" s="3">
        <v>5129.74</v>
      </c>
      <c r="G50" s="3">
        <v>9645.62</v>
      </c>
      <c r="H50" s="3">
        <v>8240.01</v>
      </c>
      <c r="I50" s="3">
        <v>2160.41</v>
      </c>
      <c r="J50" s="3">
        <v>4881.74</v>
      </c>
      <c r="K50" s="3">
        <v>2088.74</v>
      </c>
    </row>
    <row r="51" spans="1:11" x14ac:dyDescent="0.35">
      <c r="A51" s="2" t="s">
        <v>28</v>
      </c>
      <c r="B51" s="2">
        <f>B49+B48+B46+B45</f>
      </c>
      <c r="C51" s="2">
        <f t="shared" ref="C51:K51" si="2">C49+C48+C46+C45</f>
      </c>
      <c r="D51" s="2">
        <f t="shared" si="2"/>
      </c>
      <c r="E51" s="2">
        <f t="shared" si="2"/>
      </c>
      <c r="F51" s="2">
        <f t="shared" si="2"/>
      </c>
      <c r="G51" s="2">
        <f t="shared" si="2"/>
      </c>
      <c r="H51" s="2">
        <f t="shared" si="2"/>
      </c>
      <c r="I51" s="2">
        <f t="shared" si="2"/>
      </c>
      <c r="J51" s="2">
        <f t="shared" si="2"/>
      </c>
      <c r="K51" s="2">
        <f t="shared" si="2"/>
      </c>
    </row>
    <row r="55" spans="1:11" ht="13.15" x14ac:dyDescent="0.4">
      <c r="A55" s="1" t="s">
        <v>32</v>
      </c>
    </row>
    <row r="56" spans="1:11" s="6" customFormat="1" ht="13.15" x14ac:dyDescent="0.4">
      <c r="A56" s="4" t="s">
        <v>11</v>
      </c>
      <c r="B56" s="5">
        <v>42094.0</v>
      </c>
      <c r="C56" s="5">
        <v>42460.0</v>
      </c>
      <c r="D56" s="5">
        <v>42825.0</v>
      </c>
      <c r="E56" s="5">
        <v>43190.0</v>
      </c>
      <c r="F56" s="5">
        <v>43555.0</v>
      </c>
      <c r="G56" s="5">
        <v>43921.0</v>
      </c>
      <c r="H56" s="5">
        <v>44286.0</v>
      </c>
      <c r="I56" s="5">
        <v>44651.0</v>
      </c>
      <c r="J56" s="5">
        <v>45016.0</v>
      </c>
      <c r="K56" s="5">
        <v>45382.0</v>
      </c>
    </row>
    <row r="57" spans="1:11" x14ac:dyDescent="0.35">
      <c r="A57" s="2" t="s">
        <v>33</v>
      </c>
      <c r="B57" s="3">
        <v>339.01</v>
      </c>
      <c r="C57" s="3">
        <v>339.01</v>
      </c>
      <c r="D57" s="3">
        <v>1016.27</v>
      </c>
      <c r="E57" s="3">
        <v>1524.21</v>
      </c>
      <c r="F57" s="3">
        <v>1524.21</v>
      </c>
      <c r="G57" s="3">
        <v>1524.21</v>
      </c>
      <c r="H57" s="3">
        <v>1452.41</v>
      </c>
      <c r="I57" s="3">
        <v>1418.94</v>
      </c>
      <c r="J57" s="3">
        <v>1418.94</v>
      </c>
      <c r="K57" s="3">
        <v>1418.94</v>
      </c>
    </row>
    <row r="58" spans="1:11" x14ac:dyDescent="0.35">
      <c r="A58" s="2" t="s">
        <v>34</v>
      </c>
      <c r="B58" s="3">
        <v>13585.4</v>
      </c>
      <c r="C58" s="3">
        <v>16324.76</v>
      </c>
      <c r="D58" s="3">
        <v>20055.16</v>
      </c>
      <c r="E58" s="3">
        <v>24008.23</v>
      </c>
      <c r="F58" s="3">
        <v>28876.45</v>
      </c>
      <c r="G58" s="3">
        <v>29456.41</v>
      </c>
      <c r="H58" s="3">
        <v>36628.45</v>
      </c>
      <c r="I58" s="3">
        <v>39985.27</v>
      </c>
      <c r="J58" s="3">
        <v>30844.33</v>
      </c>
      <c r="K58" s="3">
        <v>45502.41</v>
      </c>
    </row>
    <row r="59" spans="1:11" ht="14.25" x14ac:dyDescent="0.45">
      <c r="A59" s="2" t="s">
        <v>35</v>
      </c>
      <c r="B59" s="7">
        <v>36915.57</v>
      </c>
      <c r="C59" s="7">
        <v>22160.21</v>
      </c>
      <c r="D59" s="7">
        <v>22130.07</v>
      </c>
      <c r="E59" s="7">
        <v>21952.02</v>
      </c>
      <c r="F59" s="7">
        <v>28191.54</v>
      </c>
      <c r="G59" s="7">
        <v>44001.49</v>
      </c>
      <c r="H59" s="7">
        <v>43708.73</v>
      </c>
      <c r="I59" s="7">
        <v>48497.75</v>
      </c>
      <c r="J59" s="7">
        <v>70671.02</v>
      </c>
      <c r="K59" s="7">
        <v>66683.82</v>
      </c>
    </row>
    <row r="60" spans="1:11" x14ac:dyDescent="0.35">
      <c r="A60" s="2" t="s">
        <v>36</v>
      </c>
      <c r="B60" s="3">
        <v>34904.72</v>
      </c>
      <c r="C60" s="3">
        <v>30729.03</v>
      </c>
      <c r="D60" s="3">
        <v>37127.03</v>
      </c>
      <c r="E60" s="3">
        <v>42196.78</v>
      </c>
      <c r="F60" s="3">
        <v>48761.96</v>
      </c>
      <c r="G60" s="3">
        <v>41935.46</v>
      </c>
      <c r="H60" s="3">
        <v>52438.28</v>
      </c>
      <c r="I60" s="3">
        <v>64774.01</v>
      </c>
      <c r="J60" s="3">
        <v>59033.8</v>
      </c>
      <c r="K60" s="3">
        <v>69204.72</v>
      </c>
    </row>
    <row r="61" spans="1:11" s="1" customFormat="1" ht="13.15" x14ac:dyDescent="0.4">
      <c r="A61" s="1" t="s">
        <v>37</v>
      </c>
      <c r="B61" s="3">
        <v>85744.7</v>
      </c>
      <c r="C61" s="3">
        <v>69553.01</v>
      </c>
      <c r="D61" s="3">
        <v>80328.53</v>
      </c>
      <c r="E61" s="3">
        <v>89681.24</v>
      </c>
      <c r="F61" s="3">
        <v>107354.16</v>
      </c>
      <c r="G61" s="3">
        <v>116917.57</v>
      </c>
      <c r="H61" s="3">
        <v>134227.87</v>
      </c>
      <c r="I61" s="3">
        <v>154675.97</v>
      </c>
      <c r="J61" s="3">
        <v>161968.09</v>
      </c>
      <c r="K61" s="3">
        <v>182809.89</v>
      </c>
    </row>
    <row r="62" spans="1:11" x14ac:dyDescent="0.35">
      <c r="A62" s="2" t="s">
        <v>38</v>
      </c>
      <c r="B62" s="3">
        <v>45425.11</v>
      </c>
      <c r="C62" s="3">
        <v>33678.42</v>
      </c>
      <c r="D62" s="3">
        <v>36876.26</v>
      </c>
      <c r="E62" s="3">
        <v>38695.14</v>
      </c>
      <c r="F62" s="3">
        <v>41641.5</v>
      </c>
      <c r="G62" s="3">
        <v>48951.78</v>
      </c>
      <c r="H62" s="3">
        <v>50911.91</v>
      </c>
      <c r="I62" s="3">
        <v>58126.1</v>
      </c>
      <c r="J62" s="3">
        <v>68387.46</v>
      </c>
      <c r="K62" s="3">
        <v>79762.56</v>
      </c>
    </row>
    <row r="63" spans="1:11" x14ac:dyDescent="0.35">
      <c r="A63" s="2" t="s">
        <v>39</v>
      </c>
      <c r="B63" s="3">
        <v>3949.83</v>
      </c>
      <c r="C63" s="3">
        <v>1914.45</v>
      </c>
      <c r="D63" s="3">
        <v>1867.49</v>
      </c>
      <c r="E63" s="3">
        <v>4010.53</v>
      </c>
      <c r="F63" s="3">
        <v>9518.73</v>
      </c>
      <c r="G63" s="3">
        <v>17169.76</v>
      </c>
      <c r="H63" s="3">
        <v>25336.03</v>
      </c>
      <c r="I63" s="3">
        <v>28907.24</v>
      </c>
      <c r="J63" s="3">
        <v>25607.36</v>
      </c>
      <c r="K63" s="3">
        <v>20077.8</v>
      </c>
    </row>
    <row r="64" spans="1:11" ht="14.25" x14ac:dyDescent="0.45">
      <c r="A64" s="2" t="s">
        <v>40</v>
      </c>
      <c r="B64" s="3">
        <v>6112.82</v>
      </c>
      <c r="C64" s="7">
        <v>9184.52</v>
      </c>
      <c r="D64" s="3">
        <v>11773.43</v>
      </c>
      <c r="E64" s="3">
        <v>12882.0</v>
      </c>
      <c r="F64" s="3">
        <v>14297.45</v>
      </c>
      <c r="G64" s="3">
        <v>14395.61</v>
      </c>
      <c r="H64" s="3">
        <v>15093.42</v>
      </c>
      <c r="I64" s="3">
        <v>18867.35</v>
      </c>
      <c r="J64" s="3">
        <v>23689.15</v>
      </c>
      <c r="K64" s="3">
        <v>29540.3</v>
      </c>
    </row>
    <row r="65" spans="1:11" x14ac:dyDescent="0.35">
      <c r="A65" s="2" t="s">
        <v>41</v>
      </c>
      <c r="B65" s="3">
        <v>30256.94</v>
      </c>
      <c r="C65" s="3">
        <v>24775.62</v>
      </c>
      <c r="D65" s="3">
        <v>29811.35</v>
      </c>
      <c r="E65" s="3">
        <v>34093.57</v>
      </c>
      <c r="F65" s="3">
        <v>41896.48</v>
      </c>
      <c r="G65" s="3">
        <v>36400.42</v>
      </c>
      <c r="H65" s="3">
        <v>42886.51</v>
      </c>
      <c r="I65" s="3">
        <v>48775.28</v>
      </c>
      <c r="J65" s="3">
        <v>44284.12</v>
      </c>
      <c r="K65" s="3">
        <v>53429.23</v>
      </c>
    </row>
    <row r="66" spans="1:11" s="1" customFormat="1" ht="13.15" x14ac:dyDescent="0.4">
      <c r="A66" s="1" t="s">
        <v>37</v>
      </c>
      <c r="B66" s="3">
        <v>85744.7</v>
      </c>
      <c r="C66" s="3">
        <v>69553.01</v>
      </c>
      <c r="D66" s="3">
        <v>80328.53</v>
      </c>
      <c r="E66" s="3">
        <v>89681.24</v>
      </c>
      <c r="F66" s="3">
        <v>107354.16</v>
      </c>
      <c r="G66" s="3">
        <v>116917.57</v>
      </c>
      <c r="H66" s="3">
        <v>134227.87</v>
      </c>
      <c r="I66" s="3">
        <v>154675.97</v>
      </c>
      <c r="J66" s="3">
        <v>161968.09</v>
      </c>
      <c r="K66" s="3">
        <v>182809.89</v>
      </c>
    </row>
    <row r="67" spans="1:11" x14ac:dyDescent="0.35">
      <c r="A67" s="2" t="s">
        <v>42</v>
      </c>
      <c r="B67" s="3">
        <v>4070.73</v>
      </c>
      <c r="C67" s="3">
        <v>3776.28</v>
      </c>
      <c r="D67" s="3">
        <v>4091.66</v>
      </c>
      <c r="E67" s="3">
        <v>5587.02</v>
      </c>
      <c r="F67" s="3">
        <v>5667.79</v>
      </c>
      <c r="G67" s="3">
        <v>3934.19</v>
      </c>
      <c r="H67" s="3">
        <v>6869.99</v>
      </c>
      <c r="I67" s="3">
        <v>6340.31</v>
      </c>
      <c r="J67" s="3">
        <v>6832.38</v>
      </c>
      <c r="K67" s="3">
        <v>9324.09</v>
      </c>
    </row>
    <row r="68" spans="1:11" ht="14.25" x14ac:dyDescent="0.45">
      <c r="A68" s="2" t="s">
        <v>43</v>
      </c>
      <c r="B68" s="7">
        <v>16044.75</v>
      </c>
      <c r="C68" s="7">
        <v>13354.83</v>
      </c>
      <c r="D68" s="7">
        <v>18638.65</v>
      </c>
      <c r="E68" s="7">
        <v>18621.72</v>
      </c>
      <c r="F68" s="7">
        <v>20451.3</v>
      </c>
      <c r="G68" s="7">
        <v>19333.67</v>
      </c>
      <c r="H68" s="7">
        <v>28817.92</v>
      </c>
      <c r="I68" s="7">
        <v>35561.82</v>
      </c>
      <c r="J68" s="7">
        <v>29622.01</v>
      </c>
      <c r="K68" s="7">
        <v>34236.67</v>
      </c>
    </row>
    <row r="69" spans="1:11" x14ac:dyDescent="0.35">
      <c r="A69" s="2" t="s">
        <v>44</v>
      </c>
      <c r="B69" s="3">
        <v>2235.83</v>
      </c>
      <c r="C69" s="3">
        <v>154.15</v>
      </c>
      <c r="D69" s="3">
        <v>136.4</v>
      </c>
      <c r="E69" s="3">
        <v>1289.65</v>
      </c>
      <c r="F69" s="3">
        <v>218.5</v>
      </c>
      <c r="G69" s="3">
        <v>223.12</v>
      </c>
      <c r="H69" s="3">
        <v>574.92</v>
      </c>
      <c r="I69" s="3">
        <v>257.97</v>
      </c>
      <c r="J69" s="3">
        <v>672.4</v>
      </c>
      <c r="K69" s="3">
        <v>473.43</v>
      </c>
    </row>
    <row r="70" spans="1:11" x14ac:dyDescent="0.35">
      <c r="A70" s="2" t="s">
        <v>45</v>
      </c>
      <c r="B70" s="3">
        <v>339017250.0</v>
      </c>
      <c r="C70" s="3">
        <v>339330000.0</v>
      </c>
      <c r="D70" s="3">
        <v>1016584500.0</v>
      </c>
      <c r="E70" s="3">
        <v>1524525375.0</v>
      </c>
      <c r="F70" s="3">
        <v>1524525375.0</v>
      </c>
      <c r="G70" s="3">
        <v>1524525375.0</v>
      </c>
      <c r="H70" s="3">
        <v>1452723884.0</v>
      </c>
      <c r="I70" s="3">
        <v>1419251095.0</v>
      </c>
      <c r="J70" s="3">
        <v>1419251095.0</v>
      </c>
      <c r="K70" s="3">
        <v>1419251095.0</v>
      </c>
    </row>
    <row r="71" spans="1:11" ht="13.5" x14ac:dyDescent="0.35">
      <c r="A71" s="2" t="s">
        <v>46</v>
      </c>
      <c r="B71" s="9"/>
      <c r="C71" s="9"/>
      <c r="D71">
        <v>677254500.0</v>
      </c>
      <c r="E71">
        <v>507940875.0</v>
      </c>
      <c r="G71" s="9"/>
      <c r="H71" s="9"/>
    </row>
    <row r="72" spans="1:11" x14ac:dyDescent="0.35">
      <c r="A72" s="2" t="s">
        <v>47</v>
      </c>
      <c r="B72" s="3">
        <v>10.0</v>
      </c>
      <c r="C72" s="3">
        <v>10.0</v>
      </c>
      <c r="D72" s="3">
        <v>10.0</v>
      </c>
      <c r="E72" s="3">
        <v>10.0</v>
      </c>
      <c r="F72" s="3">
        <v>10.0</v>
      </c>
      <c r="G72" s="3">
        <v>10.0</v>
      </c>
      <c r="H72" s="3">
        <v>10.0</v>
      </c>
      <c r="I72" s="3">
        <v>10.0</v>
      </c>
      <c r="J72" s="3">
        <v>10.0</v>
      </c>
      <c r="K72" s="3">
        <v>10.0</v>
      </c>
    </row>
    <row r="73" spans="1:11" x14ac:dyDescent="0.35">
      <c r="H73" s="2">
        <f>H62-G62+H45</f>
      </c>
      <c r="I73" s="2">
        <f t="shared" ref="I73:K73" si="3">I62-H62+I45</f>
      </c>
      <c r="J73" s="2">
        <f t="shared" si="3"/>
      </c>
      <c r="K73" s="2">
        <f t="shared" si="3"/>
      </c>
    </row>
    <row r="80" spans="1:11" ht="13.15" x14ac:dyDescent="0.4">
      <c r="A80" s="1" t="s">
        <v>48</v>
      </c>
    </row>
    <row r="81" spans="1:12" s="6" customFormat="1" ht="13.15" x14ac:dyDescent="0.4">
      <c r="A81" s="4" t="s">
        <v>11</v>
      </c>
      <c r="B81" s="5">
        <v>42094.0</v>
      </c>
      <c r="C81" s="5">
        <v>42460.0</v>
      </c>
      <c r="D81" s="5">
        <v>42825.0</v>
      </c>
      <c r="E81" s="5">
        <v>43190.0</v>
      </c>
      <c r="F81" s="5">
        <v>43555.0</v>
      </c>
      <c r="G81" s="5">
        <v>43921.0</v>
      </c>
      <c r="H81" s="5">
        <v>44286.0</v>
      </c>
      <c r="I81" s="5">
        <v>44651.0</v>
      </c>
      <c r="J81" s="5">
        <v>45016.0</v>
      </c>
      <c r="K81" s="5">
        <v>45382.0</v>
      </c>
      <c r="L81" s="5"/>
    </row>
    <row r="82" spans="1:12" s="1" customFormat="1" ht="13.15" x14ac:dyDescent="0.4">
      <c r="A82" s="2" t="s">
        <v>49</v>
      </c>
      <c r="B82" s="3">
        <v>19409.79</v>
      </c>
      <c r="C82" s="3">
        <v>6651.45</v>
      </c>
      <c r="D82" s="3">
        <v>10254.48</v>
      </c>
      <c r="E82" s="3">
        <v>11037.21</v>
      </c>
      <c r="F82" s="3">
        <v>8554.03</v>
      </c>
      <c r="G82" s="3">
        <v>5469.24</v>
      </c>
      <c r="H82" s="3">
        <v>17829.26</v>
      </c>
      <c r="I82" s="3">
        <v>15810.23</v>
      </c>
      <c r="J82" s="3">
        <v>-3466.31</v>
      </c>
      <c r="K82" s="3">
        <v>23851.87</v>
      </c>
    </row>
    <row r="83" spans="1:12" x14ac:dyDescent="0.35">
      <c r="A83" s="2" t="s">
        <v>50</v>
      </c>
      <c r="B83" s="3">
        <v>-5667.21</v>
      </c>
      <c r="C83" s="3">
        <v>-4271.87</v>
      </c>
      <c r="D83" s="3">
        <v>-5304.03</v>
      </c>
      <c r="E83" s="3">
        <v>-7397.96</v>
      </c>
      <c r="F83" s="3">
        <v>-11381.74</v>
      </c>
      <c r="G83" s="3">
        <v>-14167.89</v>
      </c>
      <c r="H83" s="3">
        <v>-12278.59</v>
      </c>
      <c r="I83" s="3">
        <v>-13744.84</v>
      </c>
      <c r="J83" s="3">
        <v>-11383.55</v>
      </c>
      <c r="K83" s="3">
        <v>-13019.23</v>
      </c>
    </row>
    <row r="84" spans="1:12" x14ac:dyDescent="0.35">
      <c r="A84" s="2" t="s">
        <v>51</v>
      </c>
      <c r="B84" s="3">
        <v>-14698.97</v>
      </c>
      <c r="C84" s="3">
        <v>-3674.31</v>
      </c>
      <c r="D84" s="3">
        <v>-4238.72</v>
      </c>
      <c r="E84" s="3">
        <v>-4422.96</v>
      </c>
      <c r="F84" s="3">
        <v>2598.21</v>
      </c>
      <c r="G84" s="3">
        <v>8451.96</v>
      </c>
      <c r="H84" s="3">
        <v>-4709.19</v>
      </c>
      <c r="I84" s="3">
        <v>-2066.24</v>
      </c>
      <c r="J84" s="3">
        <v>16025.17</v>
      </c>
      <c r="K84" s="3">
        <v>-16155.04</v>
      </c>
    </row>
    <row r="85" spans="1:12" s="1" customFormat="1" ht="13.15" x14ac:dyDescent="0.4">
      <c r="A85" s="2" t="s">
        <v>52</v>
      </c>
      <c r="B85" s="3">
        <v>-956.39</v>
      </c>
      <c r="C85" s="3">
        <v>-1294.73</v>
      </c>
      <c r="D85" s="3">
        <v>711.73</v>
      </c>
      <c r="E85" s="3">
        <v>-783.71</v>
      </c>
      <c r="F85" s="3">
        <v>-229.5</v>
      </c>
      <c r="G85" s="3">
        <v>-246.69</v>
      </c>
      <c r="H85" s="3">
        <v>841.48</v>
      </c>
      <c r="I85" s="3">
        <v>-0.85</v>
      </c>
      <c r="J85" s="3">
        <v>1175.31</v>
      </c>
      <c r="K85" s="3">
        <v>-5322.4</v>
      </c>
    </row>
    <row r="90" spans="1:12" s="1" customFormat="1" ht="13.15" x14ac:dyDescent="0.4">
      <c r="A90" s="1" t="s">
        <v>53</v>
      </c>
      <c r="B90" s="3">
        <v>96.27</v>
      </c>
      <c r="C90" s="3">
        <v>116.7</v>
      </c>
      <c r="D90" s="3">
        <v>233.62</v>
      </c>
      <c r="E90" s="3">
        <v>229.9</v>
      </c>
      <c r="F90" s="3">
        <v>189.23</v>
      </c>
      <c r="G90" s="3">
        <v>126.73</v>
      </c>
      <c r="H90" s="3">
        <v>156.33</v>
      </c>
      <c r="I90" s="3">
        <v>179.57</v>
      </c>
      <c r="J90" s="3">
        <v>157.87</v>
      </c>
      <c r="K90" s="3">
        <v>317.1</v>
      </c>
    </row>
    <row r="92" spans="1:12" s="1" customFormat="1" ht="13.15" x14ac:dyDescent="0.4">
      <c r="A92" s="1" t="s">
        <v>54</v>
      </c>
    </row>
    <row r="93" spans="1:12" x14ac:dyDescent="0.35">
      <c r="A93" s="2" t="s">
        <v>55</v>
      </c>
      <c r="B93" s="10">
        <v>228.57</v>
      </c>
      <c r="C93" s="10">
        <v>228.57</v>
      </c>
      <c r="D93" s="10">
        <v>228.57</v>
      </c>
      <c r="E93" s="10">
        <v>228.57</v>
      </c>
      <c r="F93" s="10">
        <v>228.57</v>
      </c>
      <c r="G93" s="10">
        <v>228.57</v>
      </c>
      <c r="H93" s="10">
        <v>218.38</v>
      </c>
      <c r="I93" s="10">
        <v>212.78</v>
      </c>
      <c r="J93" s="10">
        <v>212.78</v>
      </c>
      <c r="K93" s="10">
        <v>212.78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Financials&gt;</vt:lpstr>
      <vt:lpstr>HistoricalFS</vt:lpstr>
      <vt:lpstr>Ratio Analysis</vt:lpstr>
      <vt:lpstr>Forecasting</vt:lpstr>
      <vt:lpstr>Common Size Statement</vt:lpstr>
      <vt:lpstr>Peer Analysis</vt:lpstr>
      <vt:lpstr>Data&gt;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Gaurav Agarwal</cp:lastModifiedBy>
  <dcterms:created xsi:type="dcterms:W3CDTF">2023-01-14T08:22:33Z</dcterms:created>
  <dcterms:modified xsi:type="dcterms:W3CDTF">2024-09-24T19:19:20Z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