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62d5ce3eedc922/Documents/"/>
    </mc:Choice>
  </mc:AlternateContent>
  <xr:revisionPtr revIDLastSave="0" documentId="8_{720FD212-F852-429A-A60F-C022A48FB4CE}" xr6:coauthVersionLast="47" xr6:coauthVersionMax="47" xr10:uidLastSave="{00000000-0000-0000-0000-000000000000}"/>
  <bookViews>
    <workbookView xWindow="-98" yWindow="-98" windowWidth="21795" windowHeight="13695" firstSheet="6" activeTab="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  <sheet name="HistoricalFS" sheetId="8" r:id="rId7"/>
    <sheet name="Cashflow" sheetId="11" r:id="rId8"/>
  </sheets>
  <definedNames>
    <definedName name="UPDATE">'Data Sheet'!$B$1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" i="8" l="1"/>
  <c r="D95" i="8"/>
  <c r="E95" i="8"/>
  <c r="F95" i="8"/>
  <c r="G95" i="8"/>
  <c r="H95" i="8"/>
  <c r="I95" i="8"/>
  <c r="C96" i="8"/>
  <c r="D96" i="8"/>
  <c r="E96" i="8"/>
  <c r="F96" i="8"/>
  <c r="G96" i="8"/>
  <c r="H96" i="8"/>
  <c r="I96" i="8"/>
  <c r="C97" i="8"/>
  <c r="D97" i="8"/>
  <c r="E97" i="8"/>
  <c r="F97" i="8"/>
  <c r="G97" i="8"/>
  <c r="H97" i="8"/>
  <c r="I97" i="8"/>
  <c r="C98" i="8"/>
  <c r="D98" i="8"/>
  <c r="E98" i="8"/>
  <c r="F98" i="8"/>
  <c r="G98" i="8"/>
  <c r="H98" i="8"/>
  <c r="I98" i="8"/>
  <c r="C99" i="8"/>
  <c r="D99" i="8"/>
  <c r="E99" i="8"/>
  <c r="F99" i="8"/>
  <c r="G99" i="8"/>
  <c r="H99" i="8"/>
  <c r="I99" i="8"/>
  <c r="C100" i="8"/>
  <c r="D100" i="8"/>
  <c r="E100" i="8"/>
  <c r="F100" i="8"/>
  <c r="G100" i="8"/>
  <c r="H100" i="8"/>
  <c r="I100" i="8"/>
  <c r="D94" i="8"/>
  <c r="E94" i="8"/>
  <c r="F94" i="8"/>
  <c r="G94" i="8"/>
  <c r="H94" i="8"/>
  <c r="I94" i="8"/>
  <c r="C94" i="8"/>
  <c r="C81" i="8"/>
  <c r="D81" i="8"/>
  <c r="E81" i="8"/>
  <c r="F81" i="8"/>
  <c r="G81" i="8"/>
  <c r="H81" i="8"/>
  <c r="I81" i="8"/>
  <c r="C82" i="8"/>
  <c r="D82" i="8"/>
  <c r="E82" i="8"/>
  <c r="F82" i="8"/>
  <c r="G82" i="8"/>
  <c r="H82" i="8"/>
  <c r="I82" i="8"/>
  <c r="C83" i="8"/>
  <c r="D83" i="8"/>
  <c r="E83" i="8"/>
  <c r="F83" i="8"/>
  <c r="G83" i="8"/>
  <c r="H83" i="8"/>
  <c r="I83" i="8"/>
  <c r="C84" i="8"/>
  <c r="D84" i="8"/>
  <c r="E84" i="8"/>
  <c r="F84" i="8"/>
  <c r="G84" i="8"/>
  <c r="H84" i="8"/>
  <c r="I84" i="8"/>
  <c r="C85" i="8"/>
  <c r="D85" i="8"/>
  <c r="E85" i="8"/>
  <c r="F85" i="8"/>
  <c r="G85" i="8"/>
  <c r="H85" i="8"/>
  <c r="I85" i="8"/>
  <c r="C86" i="8"/>
  <c r="D86" i="8"/>
  <c r="E86" i="8"/>
  <c r="F86" i="8"/>
  <c r="G86" i="8"/>
  <c r="H86" i="8"/>
  <c r="I86" i="8"/>
  <c r="C87" i="8"/>
  <c r="D87" i="8"/>
  <c r="E87" i="8"/>
  <c r="F87" i="8"/>
  <c r="G87" i="8"/>
  <c r="H87" i="8"/>
  <c r="I87" i="8"/>
  <c r="C88" i="8"/>
  <c r="D88" i="8"/>
  <c r="E88" i="8"/>
  <c r="F88" i="8"/>
  <c r="G88" i="8"/>
  <c r="H88" i="8"/>
  <c r="I88" i="8"/>
  <c r="C89" i="8"/>
  <c r="D89" i="8"/>
  <c r="E89" i="8"/>
  <c r="F89" i="8"/>
  <c r="G89" i="8"/>
  <c r="H89" i="8"/>
  <c r="I89" i="8"/>
  <c r="D80" i="8"/>
  <c r="E80" i="8"/>
  <c r="F80" i="8"/>
  <c r="G80" i="8"/>
  <c r="H80" i="8"/>
  <c r="I80" i="8"/>
  <c r="C80" i="8"/>
  <c r="D76" i="8"/>
  <c r="E76" i="8"/>
  <c r="F76" i="8"/>
  <c r="G76" i="8"/>
  <c r="H76" i="8"/>
  <c r="I76" i="8"/>
  <c r="C76" i="8"/>
  <c r="D75" i="8"/>
  <c r="E75" i="8"/>
  <c r="F75" i="8"/>
  <c r="G75" i="8"/>
  <c r="H75" i="8"/>
  <c r="I75" i="8"/>
  <c r="C75" i="8"/>
  <c r="D74" i="8"/>
  <c r="E74" i="8"/>
  <c r="F74" i="8"/>
  <c r="G74" i="8"/>
  <c r="H74" i="8"/>
  <c r="I74" i="8"/>
  <c r="C74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C70" i="8"/>
  <c r="C71" i="8"/>
  <c r="C72" i="8"/>
  <c r="C73" i="8"/>
  <c r="D73" i="8"/>
  <c r="E73" i="8"/>
  <c r="F73" i="8"/>
  <c r="G73" i="8"/>
  <c r="H73" i="8"/>
  <c r="I73" i="8"/>
  <c r="C69" i="8"/>
  <c r="G1" i="11"/>
  <c r="D34" i="8"/>
  <c r="E34" i="8"/>
  <c r="F34" i="8"/>
  <c r="G34" i="8"/>
  <c r="H34" i="8"/>
  <c r="I34" i="8"/>
  <c r="C34" i="8"/>
  <c r="J61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J59" i="8"/>
  <c r="I59" i="8"/>
  <c r="H59" i="8"/>
  <c r="G59" i="8"/>
  <c r="F59" i="8"/>
  <c r="E59" i="8"/>
  <c r="D59" i="8"/>
  <c r="C59" i="8"/>
  <c r="J56" i="8"/>
  <c r="J55" i="8"/>
  <c r="I55" i="8"/>
  <c r="H55" i="8"/>
  <c r="G55" i="8"/>
  <c r="F55" i="8"/>
  <c r="E55" i="8"/>
  <c r="D55" i="8"/>
  <c r="C55" i="8"/>
  <c r="J54" i="8"/>
  <c r="I54" i="8"/>
  <c r="H54" i="8"/>
  <c r="G54" i="8"/>
  <c r="F54" i="8"/>
  <c r="E54" i="8"/>
  <c r="D54" i="8"/>
  <c r="C54" i="8"/>
  <c r="J53" i="8"/>
  <c r="I53" i="8"/>
  <c r="H53" i="8"/>
  <c r="G53" i="8"/>
  <c r="F53" i="8"/>
  <c r="E53" i="8"/>
  <c r="D53" i="8"/>
  <c r="C53" i="8"/>
  <c r="J50" i="8"/>
  <c r="I50" i="8"/>
  <c r="H50" i="8"/>
  <c r="G50" i="8"/>
  <c r="F50" i="8"/>
  <c r="E50" i="8"/>
  <c r="D50" i="8"/>
  <c r="C50" i="8"/>
  <c r="J49" i="8"/>
  <c r="I49" i="8"/>
  <c r="H49" i="8"/>
  <c r="G49" i="8"/>
  <c r="F49" i="8"/>
  <c r="E49" i="8"/>
  <c r="D49" i="8"/>
  <c r="C49" i="8"/>
  <c r="J48" i="8"/>
  <c r="I48" i="8"/>
  <c r="H48" i="8"/>
  <c r="G48" i="8"/>
  <c r="F48" i="8"/>
  <c r="E48" i="8"/>
  <c r="D48" i="8"/>
  <c r="C48" i="8"/>
  <c r="J47" i="8"/>
  <c r="I47" i="8"/>
  <c r="H47" i="8"/>
  <c r="G47" i="8"/>
  <c r="F47" i="8"/>
  <c r="E47" i="8"/>
  <c r="D47" i="8"/>
  <c r="C47" i="8"/>
  <c r="J31" i="8"/>
  <c r="J28" i="8"/>
  <c r="J22" i="8"/>
  <c r="J19" i="8"/>
  <c r="J8" i="8"/>
  <c r="J5" i="8"/>
  <c r="J14" i="8" s="1"/>
  <c r="J38" i="8"/>
  <c r="J39" i="8" s="1"/>
  <c r="I38" i="8"/>
  <c r="H38" i="8"/>
  <c r="G38" i="8"/>
  <c r="F38" i="8"/>
  <c r="E38" i="8"/>
  <c r="D38" i="8"/>
  <c r="C38" i="8"/>
  <c r="I28" i="8"/>
  <c r="H28" i="8"/>
  <c r="G28" i="8"/>
  <c r="F28" i="8"/>
  <c r="E28" i="8"/>
  <c r="D28" i="8"/>
  <c r="C28" i="8"/>
  <c r="D22" i="8"/>
  <c r="E22" i="8"/>
  <c r="F22" i="8"/>
  <c r="G22" i="8"/>
  <c r="H22" i="8"/>
  <c r="I22" i="8"/>
  <c r="C22" i="8"/>
  <c r="I19" i="8"/>
  <c r="H19" i="8"/>
  <c r="G19" i="8"/>
  <c r="F19" i="8"/>
  <c r="E19" i="8"/>
  <c r="D19" i="8"/>
  <c r="C19" i="8"/>
  <c r="D13" i="8"/>
  <c r="E13" i="8"/>
  <c r="F13" i="8"/>
  <c r="G13" i="8"/>
  <c r="H13" i="8"/>
  <c r="I13" i="8"/>
  <c r="C13" i="8"/>
  <c r="I8" i="8"/>
  <c r="H8" i="8"/>
  <c r="G8" i="8"/>
  <c r="F8" i="8"/>
  <c r="E8" i="8"/>
  <c r="D8" i="8"/>
  <c r="C8" i="8"/>
  <c r="I5" i="8"/>
  <c r="H5" i="8"/>
  <c r="G5" i="8"/>
  <c r="F5" i="8"/>
  <c r="E5" i="8"/>
  <c r="D5" i="8"/>
  <c r="C5" i="8"/>
  <c r="D3" i="8"/>
  <c r="E3" i="8"/>
  <c r="F3" i="8"/>
  <c r="G3" i="8"/>
  <c r="H3" i="8"/>
  <c r="I3" i="8"/>
  <c r="C3" i="8"/>
  <c r="B2" i="8"/>
  <c r="C6" i="3"/>
  <c r="D6" i="3"/>
  <c r="E6" i="3"/>
  <c r="F6" i="3"/>
  <c r="G6" i="3"/>
  <c r="G14" i="3" s="1"/>
  <c r="H6" i="3"/>
  <c r="L6" i="1" s="1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K14" i="1" s="1"/>
  <c r="C17" i="2"/>
  <c r="D17" i="2"/>
  <c r="E17" i="2"/>
  <c r="F17" i="2"/>
  <c r="G17" i="2"/>
  <c r="H17" i="2"/>
  <c r="I17" i="2"/>
  <c r="J17" i="2"/>
  <c r="K17" i="2"/>
  <c r="C18" i="2"/>
  <c r="D18" i="2"/>
  <c r="D21" i="2" s="1"/>
  <c r="E18" i="2"/>
  <c r="E21" i="2" s="1"/>
  <c r="F18" i="2"/>
  <c r="F21" i="2" s="1"/>
  <c r="G18" i="2"/>
  <c r="G21" i="2" s="1"/>
  <c r="H18" i="2"/>
  <c r="I18" i="2"/>
  <c r="I21" i="2" s="1"/>
  <c r="J18" i="2"/>
  <c r="K18" i="2"/>
  <c r="B17" i="2"/>
  <c r="C4" i="2"/>
  <c r="C23" i="2" s="1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6" i="1" s="1"/>
  <c r="C19" i="1" s="1"/>
  <c r="D4" i="1"/>
  <c r="E4" i="1"/>
  <c r="F4" i="1"/>
  <c r="F20" i="2" s="1"/>
  <c r="G4" i="1"/>
  <c r="G20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H13" i="1" s="1"/>
  <c r="I12" i="1"/>
  <c r="J12" i="1"/>
  <c r="J13" i="1" s="1"/>
  <c r="K12" i="1"/>
  <c r="C15" i="1"/>
  <c r="D15" i="1"/>
  <c r="E15" i="1"/>
  <c r="F15" i="1"/>
  <c r="G15" i="1"/>
  <c r="H15" i="1"/>
  <c r="I15" i="1"/>
  <c r="J15" i="1"/>
  <c r="K15" i="1"/>
  <c r="B15" i="1"/>
  <c r="B7" i="1"/>
  <c r="B4" i="1"/>
  <c r="A1" i="1"/>
  <c r="A1" i="3" s="1"/>
  <c r="H1" i="1"/>
  <c r="E1" i="2"/>
  <c r="E1" i="3"/>
  <c r="E6" i="1"/>
  <c r="E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C21" i="2"/>
  <c r="B18" i="2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L12" i="1"/>
  <c r="L13" i="1" s="1"/>
  <c r="L14" i="1" s="1"/>
  <c r="L25" i="1" s="1"/>
  <c r="L11" i="1"/>
  <c r="I14" i="3" l="1"/>
  <c r="L4" i="1"/>
  <c r="L23" i="1" s="1"/>
  <c r="K23" i="2"/>
  <c r="L5" i="1"/>
  <c r="E23" i="2"/>
  <c r="I16" i="2"/>
  <c r="K16" i="2"/>
  <c r="B21" i="2"/>
  <c r="B6" i="1"/>
  <c r="B19" i="1" s="1"/>
  <c r="C77" i="8"/>
  <c r="C101" i="8"/>
  <c r="I11" i="8"/>
  <c r="I16" i="8" s="1"/>
  <c r="I17" i="8" s="1"/>
  <c r="I51" i="8"/>
  <c r="J51" i="8"/>
  <c r="H56" i="8"/>
  <c r="H57" i="8" s="1"/>
  <c r="I62" i="8"/>
  <c r="G56" i="8"/>
  <c r="G57" i="8" s="1"/>
  <c r="C23" i="8"/>
  <c r="C9" i="8"/>
  <c r="D9" i="8"/>
  <c r="D62" i="8"/>
  <c r="H39" i="8"/>
  <c r="H62" i="8"/>
  <c r="C14" i="8"/>
  <c r="G62" i="8"/>
  <c r="I39" i="8"/>
  <c r="D11" i="8"/>
  <c r="D16" i="8" s="1"/>
  <c r="D17" i="8" s="1"/>
  <c r="C51" i="8"/>
  <c r="E11" i="8"/>
  <c r="E16" i="8" s="1"/>
  <c r="E17" i="8" s="1"/>
  <c r="C56" i="8"/>
  <c r="C57" i="8" s="1"/>
  <c r="F6" i="8"/>
  <c r="F62" i="8"/>
  <c r="I56" i="8"/>
  <c r="I57" i="8" s="1"/>
  <c r="F51" i="8"/>
  <c r="E62" i="8"/>
  <c r="C91" i="8"/>
  <c r="I91" i="8"/>
  <c r="E101" i="8"/>
  <c r="D91" i="8"/>
  <c r="G101" i="8"/>
  <c r="H101" i="8"/>
  <c r="F91" i="8"/>
  <c r="I101" i="8"/>
  <c r="G91" i="8"/>
  <c r="F101" i="8"/>
  <c r="E91" i="8"/>
  <c r="H91" i="8"/>
  <c r="D101" i="8"/>
  <c r="G77" i="8"/>
  <c r="H77" i="8"/>
  <c r="I77" i="8"/>
  <c r="E77" i="8"/>
  <c r="F77" i="8"/>
  <c r="D77" i="8"/>
  <c r="C16" i="2"/>
  <c r="F11" i="8"/>
  <c r="F16" i="8" s="1"/>
  <c r="F17" i="8" s="1"/>
  <c r="E23" i="8"/>
  <c r="G6" i="1"/>
  <c r="G19" i="1" s="1"/>
  <c r="H21" i="2"/>
  <c r="E14" i="3"/>
  <c r="F56" i="8"/>
  <c r="F57" i="8" s="1"/>
  <c r="J14" i="3"/>
  <c r="J21" i="2"/>
  <c r="F14" i="8"/>
  <c r="J57" i="8"/>
  <c r="E56" i="8"/>
  <c r="E57" i="8" s="1"/>
  <c r="E64" i="8" s="1"/>
  <c r="K21" i="2"/>
  <c r="D6" i="8"/>
  <c r="D56" i="8"/>
  <c r="D57" i="8" s="1"/>
  <c r="F14" i="3"/>
  <c r="E6" i="8"/>
  <c r="D14" i="8"/>
  <c r="D23" i="8"/>
  <c r="D51" i="8"/>
  <c r="C62" i="8"/>
  <c r="L10" i="1"/>
  <c r="N11" i="1" s="1"/>
  <c r="J20" i="2"/>
  <c r="E51" i="8"/>
  <c r="G51" i="8"/>
  <c r="I23" i="2"/>
  <c r="H23" i="2"/>
  <c r="D6" i="1"/>
  <c r="D19" i="1" s="1"/>
  <c r="E9" i="8"/>
  <c r="H51" i="8"/>
  <c r="I13" i="1"/>
  <c r="I14" i="1" s="1"/>
  <c r="F9" i="8"/>
  <c r="E20" i="2"/>
  <c r="A1" i="2"/>
  <c r="A1" i="4" s="1"/>
  <c r="F14" i="1"/>
  <c r="H16" i="2"/>
  <c r="D20" i="2"/>
  <c r="D16" i="2"/>
  <c r="C11" i="8"/>
  <c r="C16" i="8" s="1"/>
  <c r="C25" i="8" s="1"/>
  <c r="C29" i="8" s="1"/>
  <c r="C31" i="8" s="1"/>
  <c r="C35" i="8" s="1"/>
  <c r="C39" i="8"/>
  <c r="C20" i="8"/>
  <c r="D20" i="8"/>
  <c r="E20" i="8"/>
  <c r="F20" i="8"/>
  <c r="G11" i="8"/>
  <c r="G16" i="8" s="1"/>
  <c r="H11" i="8"/>
  <c r="H16" i="8" s="1"/>
  <c r="H17" i="8" s="1"/>
  <c r="G20" i="8"/>
  <c r="H20" i="8"/>
  <c r="G9" i="8"/>
  <c r="J11" i="8"/>
  <c r="J16" i="8" s="1"/>
  <c r="J25" i="8" s="1"/>
  <c r="J26" i="8" s="1"/>
  <c r="H9" i="8"/>
  <c r="J20" i="8"/>
  <c r="H14" i="8"/>
  <c r="J23" i="8"/>
  <c r="G6" i="8"/>
  <c r="J32" i="8"/>
  <c r="H6" i="8"/>
  <c r="G23" i="8"/>
  <c r="D39" i="8"/>
  <c r="E39" i="8"/>
  <c r="I14" i="8"/>
  <c r="F39" i="8"/>
  <c r="G39" i="8"/>
  <c r="G14" i="8"/>
  <c r="E14" i="8"/>
  <c r="I20" i="8"/>
  <c r="I9" i="8"/>
  <c r="I6" i="8"/>
  <c r="J6" i="8"/>
  <c r="F23" i="8"/>
  <c r="H23" i="8"/>
  <c r="I23" i="8"/>
  <c r="J9" i="8"/>
  <c r="J14" i="1"/>
  <c r="H24" i="2"/>
  <c r="G23" i="2"/>
  <c r="B14" i="1"/>
  <c r="C14" i="3"/>
  <c r="F24" i="2"/>
  <c r="J16" i="2"/>
  <c r="G16" i="2"/>
  <c r="E24" i="2"/>
  <c r="D24" i="2"/>
  <c r="L19" i="1"/>
  <c r="L24" i="1" s="1"/>
  <c r="L8" i="1"/>
  <c r="M8" i="1" s="1"/>
  <c r="D14" i="3"/>
  <c r="F23" i="2"/>
  <c r="K6" i="1"/>
  <c r="K19" i="1" s="1"/>
  <c r="L9" i="1"/>
  <c r="L7" i="1"/>
  <c r="E16" i="2"/>
  <c r="J23" i="2"/>
  <c r="H23" i="1"/>
  <c r="B14" i="3"/>
  <c r="I6" i="1"/>
  <c r="I19" i="1" s="1"/>
  <c r="B16" i="2"/>
  <c r="D23" i="2"/>
  <c r="E14" i="1"/>
  <c r="J24" i="2"/>
  <c r="C20" i="2"/>
  <c r="C24" i="2"/>
  <c r="J23" i="1"/>
  <c r="H14" i="1"/>
  <c r="I23" i="1"/>
  <c r="K24" i="2"/>
  <c r="B20" i="2"/>
  <c r="I24" i="2"/>
  <c r="G24" i="2"/>
  <c r="D13" i="1"/>
  <c r="E13" i="1" s="1"/>
  <c r="M9" i="1"/>
  <c r="N9" i="1"/>
  <c r="I20" i="2"/>
  <c r="H20" i="2"/>
  <c r="K23" i="1"/>
  <c r="M23" i="1" s="1"/>
  <c r="M4" i="1" s="1"/>
  <c r="H6" i="1"/>
  <c r="H19" i="1" s="1"/>
  <c r="F6" i="1"/>
  <c r="F19" i="1" s="1"/>
  <c r="E1" i="4"/>
  <c r="K24" i="1" l="1"/>
  <c r="M11" i="1"/>
  <c r="C103" i="8"/>
  <c r="I64" i="8"/>
  <c r="G64" i="8"/>
  <c r="H64" i="8"/>
  <c r="C64" i="8"/>
  <c r="D64" i="8"/>
  <c r="F64" i="8"/>
  <c r="C17" i="8"/>
  <c r="H25" i="8"/>
  <c r="H29" i="8" s="1"/>
  <c r="I25" i="8"/>
  <c r="I26" i="8" s="1"/>
  <c r="C26" i="8"/>
  <c r="F103" i="8"/>
  <c r="I103" i="8"/>
  <c r="H103" i="8"/>
  <c r="G103" i="8"/>
  <c r="D103" i="8"/>
  <c r="E103" i="8"/>
  <c r="K25" i="1"/>
  <c r="M25" i="1" s="1"/>
  <c r="M14" i="1" s="1"/>
  <c r="J25" i="1"/>
  <c r="I25" i="1"/>
  <c r="J29" i="8"/>
  <c r="N8" i="1"/>
  <c r="I24" i="1"/>
  <c r="N23" i="1"/>
  <c r="N4" i="1" s="1"/>
  <c r="J17" i="8"/>
  <c r="M24" i="1"/>
  <c r="M6" i="1" s="1"/>
  <c r="M10" i="1" s="1"/>
  <c r="M12" i="1" s="1"/>
  <c r="M13" i="1" s="1"/>
  <c r="H24" i="1"/>
  <c r="C40" i="8"/>
  <c r="C42" i="8"/>
  <c r="F25" i="8"/>
  <c r="F26" i="8" s="1"/>
  <c r="E25" i="8"/>
  <c r="E29" i="8" s="1"/>
  <c r="E31" i="8" s="1"/>
  <c r="G25" i="8"/>
  <c r="G17" i="8"/>
  <c r="D25" i="8"/>
  <c r="D29" i="8" s="1"/>
  <c r="D31" i="8" s="1"/>
  <c r="C32" i="8"/>
  <c r="D14" i="1"/>
  <c r="H25" i="1" s="1"/>
  <c r="N25" i="1" s="1"/>
  <c r="N14" i="1" s="1"/>
  <c r="J24" i="1"/>
  <c r="N24" i="1" l="1"/>
  <c r="N6" i="1" s="1"/>
  <c r="M15" i="1"/>
  <c r="D26" i="8"/>
  <c r="H26" i="8"/>
  <c r="I29" i="8"/>
  <c r="I31" i="8" s="1"/>
  <c r="I35" i="8" s="1"/>
  <c r="H31" i="8"/>
  <c r="H32" i="8" s="1"/>
  <c r="F29" i="8"/>
  <c r="F31" i="8" s="1"/>
  <c r="F35" i="8" s="1"/>
  <c r="E26" i="8"/>
  <c r="G26" i="8"/>
  <c r="G29" i="8"/>
  <c r="G31" i="8" s="1"/>
  <c r="D35" i="8"/>
  <c r="D32" i="8"/>
  <c r="E35" i="8"/>
  <c r="E32" i="8"/>
  <c r="M5" i="1"/>
  <c r="N10" i="1" l="1"/>
  <c r="N12" i="1" s="1"/>
  <c r="N13" i="1" s="1"/>
  <c r="N15" i="1" s="1"/>
  <c r="N5" i="1"/>
  <c r="H35" i="8"/>
  <c r="I36" i="8" s="1"/>
  <c r="I32" i="8"/>
  <c r="F32" i="8"/>
  <c r="G35" i="8"/>
  <c r="G32" i="8"/>
  <c r="I40" i="8"/>
  <c r="I42" i="8" s="1"/>
  <c r="E36" i="8"/>
  <c r="E40" i="8"/>
  <c r="E42" i="8" s="1"/>
  <c r="D36" i="8"/>
  <c r="D40" i="8"/>
  <c r="D42" i="8" s="1"/>
  <c r="F36" i="8"/>
  <c r="F40" i="8"/>
  <c r="F42" i="8" s="1"/>
  <c r="H40" i="8" l="1"/>
  <c r="H42" i="8" s="1"/>
  <c r="H36" i="8"/>
  <c r="G40" i="8"/>
  <c r="G42" i="8" s="1"/>
  <c r="G36" i="8"/>
</calcChain>
</file>

<file path=xl/sharedStrings.xml><?xml version="1.0" encoding="utf-8"?>
<sst xmlns="http://schemas.openxmlformats.org/spreadsheetml/2006/main" count="252" uniqueCount="156">
  <si>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</si>
  <si>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</si>
  <si>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</si>
  <si>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</si>
  <si>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</si>
  <si>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</si>
  <si>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</si>
  <si>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</si>
  <si>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</si>
  <si>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</si>
  <si>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</si>
  <si>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</si>
  <si>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</si>
  <si>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</si>
  <si>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</si>
  <si>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</si>
  <si>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</si>
  <si>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</si>
  <si>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</si>
  <si>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</si>
  <si>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</si>
  <si>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</si>
  <si>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</si>
  <si>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</si>
  <si>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</si>
  <si>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</si>
  <si>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</si>
  <si>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</si>
  <si>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</si>
  <si>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</si>
  <si>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</si>
  <si>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</si>
  <si>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</si>
  <si>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</si>
  <si>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</si>
  <si>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</si>
  <si>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</si>
  <si>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</si>
  <si>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</si>
  <si>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</si>
  <si>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</si>
  <si>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</si>
  <si>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</si>
  <si>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</si>
  <si>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</si>
  <si>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</si>
  <si>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</si>
  <si>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</si>
  <si>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</si>
  <si>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</si>
  <si>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</si>
  <si>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</si>
  <si>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</si>
  <si>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</si>
  <si>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</si>
  <si>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</si>
  <si>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</si>
  <si>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</si>
  <si>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</si>
  <si>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</si>
  <si>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</si>
  <si>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</si>
  <si>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COMPANY NAME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</si>
  <si>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</si>
  <si>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</si>
  <si>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</si>
  <si>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</si>
  <si>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</si>
  <si>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</si>
  <si>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</si>
  <si>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</si>
  <si>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</si>
  <si>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</si>
  <si>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</si>
  <si>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</si>
  <si>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</si>
  <si>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</si>
  <si>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</si>
  <si>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</si>
  <si>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</si>
  <si>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</si>
  <si>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</si>
  <si>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</si>
  <si>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</si>
  <si>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</si>
  <si>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</si>
  <si>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</si>
  <si>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</si>
  <si>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</si>
  <si>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</si>
  <si>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</si>
  <si>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</si>
  <si>
    <t>Years</t>
  </si>
  <si>
    <t>Last 6 Months</t>
  </si>
  <si>
    <t>#</t>
  </si>
  <si>
    <t>Income Statement</t>
  </si>
  <si>
    <t>COGS</t>
  </si>
  <si>
    <t>COGS % Sales</t>
  </si>
  <si>
    <t>Gross Profit</t>
  </si>
  <si>
    <t>Selling &amp; general expenses</t>
  </si>
  <si>
    <t>S&amp;G exp % Sales</t>
  </si>
  <si>
    <t>EBIDTA</t>
  </si>
  <si>
    <t>EBDITA % SALES</t>
  </si>
  <si>
    <t>Interest % Sales</t>
  </si>
  <si>
    <t>Depriciation</t>
  </si>
  <si>
    <t>Depriciation % Sales</t>
  </si>
  <si>
    <t xml:space="preserve">EBT </t>
  </si>
  <si>
    <t>EBT % Sales</t>
  </si>
  <si>
    <t>Eff Tax rate</t>
  </si>
  <si>
    <t>Net Profit</t>
  </si>
  <si>
    <t>Net Margin</t>
  </si>
  <si>
    <t>Equity Shares</t>
  </si>
  <si>
    <t>EPS Growth</t>
  </si>
  <si>
    <t xml:space="preserve">Dividend </t>
  </si>
  <si>
    <t>Dividend Per Share</t>
  </si>
  <si>
    <t>Dividend Payyout Ratio</t>
  </si>
  <si>
    <t>Retained Earning</t>
  </si>
  <si>
    <t>Balance Sheet</t>
  </si>
  <si>
    <t>Total Liabilities</t>
  </si>
  <si>
    <t>Fixed Assets / Net Block</t>
  </si>
  <si>
    <t>Total Non Current Assets</t>
  </si>
  <si>
    <t>Total Current Assets</t>
  </si>
  <si>
    <t>Total Assets</t>
  </si>
  <si>
    <t>CashFlow Statement</t>
  </si>
  <si>
    <t>Operating Activities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</si>
  <si>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</si>
  <si>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</si>
  <si>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</si>
  <si>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</si>
  <si>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</si>
  <si>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</si>
  <si>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Operating Activity -</t>
  </si>
  <si>
    <t>Investing Activities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</si>
  <si>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</si>
  <si>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</si>
  <si>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</si>
  <si>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</si>
  <si>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</si>
  <si>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</si>
  <si>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</si>
  <si>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</si>
  <si>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</si>
  <si>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Other investing items</t>
  </si>
  <si>
    <t>Cash from Investing Activity -</t>
  </si>
  <si>
    <t>Financing Activities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</si>
  <si>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</si>
  <si>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</si>
  <si>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</si>
  <si>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</si>
  <si>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</si>
  <si>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</si>
  <si>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</si>
  <si>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Financing Activity -</t>
  </si>
  <si>
    <t>Cash from Operating Activity -</t>
  </si>
  <si>
    <t>Cash from Investing Activity -</t>
  </si>
  <si>
    <t>Cash from Financing Activity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</si>
</sst>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;\(&quot;₹&quot;\ #,##0.0\);\-"/>
    <numFmt numFmtId="167" formatCode="#,##0.00;\(#,##0.00\);\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22222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17" fontId="2" fillId="6" borderId="0" xfId="0" applyNumberFormat="1" applyFont="1" applyFill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7" fontId="0" fillId="0" borderId="0" xfId="0" applyNumberFormat="1"/>
    <xf numFmtId="167" fontId="2" fillId="6" borderId="0" xfId="0" applyNumberFormat="1" applyFont="1" applyFill="1"/>
    <xf numFmtId="167" fontId="10" fillId="0" borderId="0" xfId="0" applyNumberFormat="1" applyFont="1"/>
    <xf numFmtId="167" fontId="10" fillId="0" borderId="0" xfId="6" applyNumberFormat="1" applyFont="1"/>
    <xf numFmtId="167" fontId="0" fillId="0" borderId="0" xfId="6" applyNumberFormat="1" applyFont="1"/>
    <xf numFmtId="167" fontId="1" fillId="0" borderId="1" xfId="0" applyNumberFormat="1" applyFont="1" applyBorder="1"/>
    <xf numFmtId="167" fontId="1" fillId="0" borderId="0" xfId="0" applyNumberFormat="1" applyFont="1"/>
    <xf numFmtId="166" fontId="1" fillId="0" borderId="1" xfId="0" applyNumberFormat="1" applyFont="1" applyBorder="1"/>
    <xf numFmtId="3" fontId="11" fillId="7" borderId="0" xfId="0" applyNumberFormat="1" applyFont="1" applyFill="1" applyAlignment="1">
      <alignment horizontal="right" vertical="center" wrapText="1"/>
    </xf>
    <xf numFmtId="0" fontId="11" fillId="7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right" vertical="center" wrapText="1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7" fontId="11" fillId="7" borderId="0" xfId="0" applyNumberFormat="1" applyFont="1" applyFill="1" applyAlignment="1">
      <alignment horizontal="right" vertical="center" wrapText="1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E11" activePane="bottomRight" state="frozen"/>
      <selection pane="bottomRight" activeCell="M15" sqref="M15"/>
      <selection pane="bottomLeft" activeCell="I2" sqref="I2"/>
      <selection pane="topRight" activeCell="I2" sqref="I2"/>
    </sheetView>
  </sheetViews>
  <sheetFormatPr defaultColWidth="8.85546875" defaultRowHeight="14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>
      <c r="A1" s="2" t="e">
        <f>'Data Sheet'!#REF!</f>
        <v>#REF!</v>
      </c>
      <c r="H1">
        <f>UPDATE</f>
        <v>0</v>
      </c>
      <c r="J1" s="3"/>
      <c r="K1" s="3"/>
      <c r="M1" s="2" t="s">
        <v>0</v>
      </c>
    </row>
    <row r="3" spans="1:14" s="2" customFormat="1">
      <c r="A3" s="11" t="s">
        <v>1</v>
      </c>
      <c r="B3" s="12">
        <f>'Data Sheet'!B16</f>
        <v>42094</v>
      </c>
      <c r="C3" s="12">
        <f>'Data Sheet'!C16</f>
        <v>42460</v>
      </c>
      <c r="D3" s="12">
        <f>'Data Sheet'!D16</f>
        <v>42825</v>
      </c>
      <c r="E3" s="12">
        <f>'Data Sheet'!E16</f>
        <v>43190</v>
      </c>
      <c r="F3" s="12">
        <f>'Data Sheet'!F16</f>
        <v>43555</v>
      </c>
      <c r="G3" s="12">
        <f>'Data Sheet'!G16</f>
        <v>43921</v>
      </c>
      <c r="H3" s="12">
        <f>'Data Sheet'!H16</f>
        <v>44286</v>
      </c>
      <c r="I3" s="12">
        <f>'Data Sheet'!I16</f>
        <v>44651</v>
      </c>
      <c r="J3" s="12">
        <f>'Data Sheet'!J16</f>
        <v>45016</v>
      </c>
      <c r="K3" s="12">
        <f>'Data Sheet'!K16</f>
        <v>45382</v>
      </c>
      <c r="L3" s="13" t="s">
        <v>2</v>
      </c>
      <c r="M3" s="13" t="s">
        <v>3</v>
      </c>
      <c r="N3" s="13" t="s">
        <v>4</v>
      </c>
    </row>
    <row r="4" spans="1:14" s="2" customFormat="1">
      <c r="A4" s="2" t="s">
        <v>5</v>
      </c>
      <c r="B4" s="1">
        <f>'Data Sheet'!B17</f>
        <v>38817.15</v>
      </c>
      <c r="C4" s="1">
        <f>'Data Sheet'!C17</f>
        <v>39192.1</v>
      </c>
      <c r="D4" s="1">
        <f>'Data Sheet'!D17</f>
        <v>42767.6</v>
      </c>
      <c r="E4" s="1">
        <f>'Data Sheet'!E17</f>
        <v>43448.94</v>
      </c>
      <c r="F4" s="1">
        <f>'Data Sheet'!F17</f>
        <v>48339.58</v>
      </c>
      <c r="G4" s="1">
        <f>'Data Sheet'!G17</f>
        <v>49387.7</v>
      </c>
      <c r="H4" s="1">
        <f>'Data Sheet'!H17</f>
        <v>49257.45</v>
      </c>
      <c r="I4" s="1">
        <f>'Data Sheet'!I17</f>
        <v>60644.54</v>
      </c>
      <c r="J4" s="1">
        <f>'Data Sheet'!J17</f>
        <v>70919.03</v>
      </c>
      <c r="K4" s="1">
        <f>'Data Sheet'!K17</f>
        <v>70866.22</v>
      </c>
      <c r="L4" s="1">
        <f>SUM(Quarters!H4:K4)</f>
        <v>72173.87</v>
      </c>
      <c r="M4" s="1">
        <f>$K4+M23*K4</f>
        <v>80000.93248487798</v>
      </c>
      <c r="N4" s="1">
        <f>$K4+N23*L4</f>
        <v>72197.999246945867</v>
      </c>
    </row>
    <row r="5" spans="1:14">
      <c r="A5" t="s">
        <v>6</v>
      </c>
      <c r="B5" s="6">
        <f>SUM('Data Sheet'!B18,'Data Sheet'!B20:B24, -1*'Data Sheet'!B19)</f>
        <v>24565.529999999995</v>
      </c>
      <c r="C5" s="6">
        <f>SUM('Data Sheet'!C18,'Data Sheet'!C20:C24, -1*'Data Sheet'!C19)</f>
        <v>24660.609999999997</v>
      </c>
      <c r="D5" s="6">
        <f>SUM('Data Sheet'!D18,'Data Sheet'!D20:D24, -1*'Data Sheet'!D19)</f>
        <v>27298.09</v>
      </c>
      <c r="E5" s="6">
        <f>SUM('Data Sheet'!E18,'Data Sheet'!E20:E24, -1*'Data Sheet'!E19)</f>
        <v>26928.35</v>
      </c>
      <c r="F5" s="6">
        <f>SUM('Data Sheet'!F18,'Data Sheet'!F20:F24, -1*'Data Sheet'!F19)</f>
        <v>29802.19</v>
      </c>
      <c r="G5" s="6">
        <f>SUM('Data Sheet'!G18,'Data Sheet'!G20:G24, -1*'Data Sheet'!G19)</f>
        <v>30044.16</v>
      </c>
      <c r="H5" s="6">
        <f>SUM('Data Sheet'!H18,'Data Sheet'!H20:H24, -1*'Data Sheet'!H19)</f>
        <v>32192.670000000002</v>
      </c>
      <c r="I5" s="6">
        <f>SUM('Data Sheet'!I18,'Data Sheet'!I20:I24, -1*'Data Sheet'!I19)</f>
        <v>40021.39</v>
      </c>
      <c r="J5" s="6">
        <f>SUM('Data Sheet'!J18,'Data Sheet'!J20:J24, -1*'Data Sheet'!J19)</f>
        <v>45214.770000000004</v>
      </c>
      <c r="K5" s="6">
        <f>SUM('Data Sheet'!K18,'Data Sheet'!K20:K24, -1*'Data Sheet'!K19)</f>
        <v>44633.659999999996</v>
      </c>
      <c r="L5" s="6">
        <f>SUM(Quarters!H5:K5)</f>
        <v>45841.179999999993</v>
      </c>
      <c r="M5" s="6">
        <f t="shared" ref="M5:N5" si="0">M4-M6</f>
        <v>50812.532932031201</v>
      </c>
      <c r="N5" s="6">
        <f t="shared" si="0"/>
        <v>46318.978874408727</v>
      </c>
    </row>
    <row r="6" spans="1:14" s="2" customFormat="1">
      <c r="A6" s="2" t="s">
        <v>7</v>
      </c>
      <c r="B6" s="1">
        <f>B4-B5</f>
        <v>14251.620000000006</v>
      </c>
      <c r="C6" s="1">
        <f t="shared" ref="C6:K6" si="1">C4-C5</f>
        <v>14531.490000000002</v>
      </c>
      <c r="D6" s="1">
        <f t="shared" si="1"/>
        <v>15469.509999999998</v>
      </c>
      <c r="E6" s="1">
        <f t="shared" si="1"/>
        <v>16520.590000000004</v>
      </c>
      <c r="F6" s="1">
        <f t="shared" si="1"/>
        <v>18537.390000000003</v>
      </c>
      <c r="G6" s="1">
        <f t="shared" si="1"/>
        <v>19343.539999999997</v>
      </c>
      <c r="H6" s="1">
        <f t="shared" si="1"/>
        <v>17064.779999999995</v>
      </c>
      <c r="I6" s="1">
        <f t="shared" si="1"/>
        <v>20623.150000000001</v>
      </c>
      <c r="J6" s="1">
        <f t="shared" si="1"/>
        <v>25704.259999999995</v>
      </c>
      <c r="K6" s="1">
        <f t="shared" si="1"/>
        <v>26232.560000000005</v>
      </c>
      <c r="L6" s="1">
        <f>SUM(Quarters!H6:K6)</f>
        <v>26332.69</v>
      </c>
      <c r="M6" s="1">
        <f>M4*M24</f>
        <v>29188.399552846779</v>
      </c>
      <c r="N6" s="1">
        <f>N4*N24</f>
        <v>25879.020372537139</v>
      </c>
    </row>
    <row r="7" spans="1:14">
      <c r="A7" t="s">
        <v>8</v>
      </c>
      <c r="B7" s="6">
        <f>'Data Sheet'!B25</f>
        <v>1229.3499999999999</v>
      </c>
      <c r="C7" s="6">
        <f>'Data Sheet'!C25</f>
        <v>1483.11</v>
      </c>
      <c r="D7" s="6">
        <f>'Data Sheet'!D25</f>
        <v>1758.63</v>
      </c>
      <c r="E7" s="6">
        <f>'Data Sheet'!E25</f>
        <v>2239.81</v>
      </c>
      <c r="F7" s="6">
        <f>'Data Sheet'!F25</f>
        <v>2080.44</v>
      </c>
      <c r="G7" s="6">
        <f>'Data Sheet'!G25</f>
        <v>2417.3200000000002</v>
      </c>
      <c r="H7" s="6">
        <f>'Data Sheet'!H25</f>
        <v>2576.9499999999998</v>
      </c>
      <c r="I7" s="6">
        <f>'Data Sheet'!I25</f>
        <v>1909.72</v>
      </c>
      <c r="J7" s="6">
        <f>'Data Sheet'!J25</f>
        <v>2097.64</v>
      </c>
      <c r="K7" s="6">
        <f>'Data Sheet'!K25</f>
        <v>2803.77</v>
      </c>
      <c r="L7" s="6">
        <f>SUM(Quarters!H7:K7)</f>
        <v>2689.81</v>
      </c>
      <c r="M7" s="6">
        <v>0</v>
      </c>
      <c r="N7" s="6">
        <v>0</v>
      </c>
    </row>
    <row r="8" spans="1:14">
      <c r="A8" t="s">
        <v>9</v>
      </c>
      <c r="B8" s="6">
        <f>'Data Sheet'!B26</f>
        <v>1027.96</v>
      </c>
      <c r="C8" s="6">
        <f>'Data Sheet'!C26</f>
        <v>1077.4000000000001</v>
      </c>
      <c r="D8" s="6">
        <f>'Data Sheet'!D26</f>
        <v>1152.79</v>
      </c>
      <c r="E8" s="6">
        <f>'Data Sheet'!E26</f>
        <v>1236.28</v>
      </c>
      <c r="F8" s="6">
        <f>'Data Sheet'!F26</f>
        <v>1396.61</v>
      </c>
      <c r="G8" s="6">
        <f>'Data Sheet'!G26</f>
        <v>1644.91</v>
      </c>
      <c r="H8" s="6">
        <f>'Data Sheet'!H26</f>
        <v>1645.59</v>
      </c>
      <c r="I8" s="6">
        <f>'Data Sheet'!I26</f>
        <v>1732.41</v>
      </c>
      <c r="J8" s="6">
        <f>'Data Sheet'!J26</f>
        <v>1809.01</v>
      </c>
      <c r="K8" s="6">
        <f>'Data Sheet'!K26</f>
        <v>1816.39</v>
      </c>
      <c r="L8" s="6">
        <f>SUM(Quarters!H8:K8)</f>
        <v>1872.5</v>
      </c>
      <c r="M8" s="6">
        <f>+$L8</f>
        <v>1872.5</v>
      </c>
      <c r="N8" s="6">
        <f>+$L8</f>
        <v>1872.5</v>
      </c>
    </row>
    <row r="9" spans="1:14">
      <c r="A9" t="s">
        <v>10</v>
      </c>
      <c r="B9" s="6">
        <f>'Data Sheet'!B27</f>
        <v>90.96</v>
      </c>
      <c r="C9" s="6">
        <f>'Data Sheet'!C27</f>
        <v>78.13</v>
      </c>
      <c r="D9" s="6">
        <f>'Data Sheet'!D27</f>
        <v>49.03</v>
      </c>
      <c r="E9" s="6">
        <f>'Data Sheet'!E27</f>
        <v>115.01</v>
      </c>
      <c r="F9" s="6">
        <f>'Data Sheet'!F27</f>
        <v>71.400000000000006</v>
      </c>
      <c r="G9" s="6">
        <f>'Data Sheet'!G27</f>
        <v>81.38</v>
      </c>
      <c r="H9" s="6">
        <f>'Data Sheet'!H27</f>
        <v>57.97</v>
      </c>
      <c r="I9" s="6">
        <f>'Data Sheet'!I27</f>
        <v>59.99</v>
      </c>
      <c r="J9" s="6">
        <f>'Data Sheet'!J27</f>
        <v>77.77</v>
      </c>
      <c r="K9" s="6">
        <f>'Data Sheet'!K27</f>
        <v>80.06</v>
      </c>
      <c r="L9" s="6">
        <f>SUM(Quarters!H9:K9)</f>
        <v>47.31</v>
      </c>
      <c r="M9" s="6">
        <f>+$L9</f>
        <v>47.31</v>
      </c>
      <c r="N9" s="6">
        <f>+$L9</f>
        <v>47.31</v>
      </c>
    </row>
    <row r="10" spans="1:14">
      <c r="A10" t="s">
        <v>11</v>
      </c>
      <c r="B10" s="6">
        <f>'Data Sheet'!B28</f>
        <v>14362.05</v>
      </c>
      <c r="C10" s="6">
        <f>'Data Sheet'!C28</f>
        <v>14859.07</v>
      </c>
      <c r="D10" s="6">
        <f>'Data Sheet'!D28</f>
        <v>16026.32</v>
      </c>
      <c r="E10" s="6">
        <f>'Data Sheet'!E28</f>
        <v>17409.11</v>
      </c>
      <c r="F10" s="6">
        <f>'Data Sheet'!F28</f>
        <v>19149.82</v>
      </c>
      <c r="G10" s="6">
        <f>'Data Sheet'!G28</f>
        <v>20034.57</v>
      </c>
      <c r="H10" s="6">
        <f>'Data Sheet'!H28</f>
        <v>17938.169999999998</v>
      </c>
      <c r="I10" s="6">
        <f>'Data Sheet'!I28</f>
        <v>20740.47</v>
      </c>
      <c r="J10" s="6">
        <f>'Data Sheet'!J28</f>
        <v>25915.119999999999</v>
      </c>
      <c r="K10" s="6">
        <f>'Data Sheet'!K28</f>
        <v>27139.88</v>
      </c>
      <c r="L10" s="6">
        <f>SUM(Quarters!H10:K10)</f>
        <v>27102.690000000002</v>
      </c>
      <c r="M10" s="6">
        <f>M6+M7-SUM(M8:M9)</f>
        <v>27268.589552846777</v>
      </c>
      <c r="N10" s="6">
        <f>N6+N7-SUM(N8:N9)</f>
        <v>23959.210372537138</v>
      </c>
    </row>
    <row r="11" spans="1:14">
      <c r="A11" t="s">
        <v>12</v>
      </c>
      <c r="B11" s="6">
        <f>'Data Sheet'!B29</f>
        <v>4596.42</v>
      </c>
      <c r="C11" s="6">
        <f>'Data Sheet'!C29</f>
        <v>5358.21</v>
      </c>
      <c r="D11" s="6">
        <f>'Data Sheet'!D29</f>
        <v>5549.09</v>
      </c>
      <c r="E11" s="6">
        <f>'Data Sheet'!E29</f>
        <v>5916.43</v>
      </c>
      <c r="F11" s="6">
        <f>'Data Sheet'!F29</f>
        <v>6313.92</v>
      </c>
      <c r="G11" s="6">
        <f>'Data Sheet'!G29</f>
        <v>4441.79</v>
      </c>
      <c r="H11" s="6">
        <f>'Data Sheet'!H29</f>
        <v>4555.29</v>
      </c>
      <c r="I11" s="6">
        <f>'Data Sheet'!I29</f>
        <v>5237.34</v>
      </c>
      <c r="J11" s="6">
        <f>'Data Sheet'!J29</f>
        <v>6438.4</v>
      </c>
      <c r="K11" s="6">
        <f>'Data Sheet'!K29</f>
        <v>6388.52</v>
      </c>
      <c r="L11" s="6">
        <f>SUM(Quarters!H11:K11)</f>
        <v>6389.6900000000005</v>
      </c>
      <c r="M11" s="7">
        <f>IF($L10&gt;0,$L11/$L10,0)</f>
        <v>0.23575851695901773</v>
      </c>
      <c r="N11" s="7">
        <f>IF($L10&gt;0,$L11/$L10,0)</f>
        <v>0.23575851695901773</v>
      </c>
    </row>
    <row r="12" spans="1:14" s="2" customFormat="1">
      <c r="A12" s="2" t="s">
        <v>13</v>
      </c>
      <c r="B12" s="1">
        <f>'Data Sheet'!B30</f>
        <v>9663.17</v>
      </c>
      <c r="C12" s="1">
        <f>'Data Sheet'!C30</f>
        <v>9344.4500000000007</v>
      </c>
      <c r="D12" s="1">
        <f>'Data Sheet'!D30</f>
        <v>10289.44</v>
      </c>
      <c r="E12" s="1">
        <f>'Data Sheet'!E30</f>
        <v>11271.2</v>
      </c>
      <c r="F12" s="1">
        <f>'Data Sheet'!F30</f>
        <v>12592.33</v>
      </c>
      <c r="G12" s="1">
        <f>'Data Sheet'!G30</f>
        <v>15306.23</v>
      </c>
      <c r="H12" s="1">
        <f>'Data Sheet'!H30</f>
        <v>13161.19</v>
      </c>
      <c r="I12" s="1">
        <f>'Data Sheet'!I30</f>
        <v>15242.66</v>
      </c>
      <c r="J12" s="1">
        <f>'Data Sheet'!J30</f>
        <v>19191.66</v>
      </c>
      <c r="K12" s="1">
        <f>'Data Sheet'!K30</f>
        <v>20458.78</v>
      </c>
      <c r="L12" s="1">
        <f>SUM(Quarters!H12:K12)</f>
        <v>20445.439999999999</v>
      </c>
      <c r="M12" s="1">
        <f>M10-M11*M10</f>
        <v>20839.787320303458</v>
      </c>
      <c r="N12" s="1">
        <f>N10-N11*N10</f>
        <v>18310.622467598667</v>
      </c>
    </row>
    <row r="13" spans="1:14">
      <c r="A13" t="s">
        <v>14</v>
      </c>
      <c r="B13" s="6">
        <f>IF('Data Sheet'!B93&gt;0,B12/'Data Sheet'!B93,0)</f>
        <v>8.0370364209493239</v>
      </c>
      <c r="C13" s="6">
        <f>IF('Data Sheet'!C93&gt;0,C12/'Data Sheet'!C93,0)</f>
        <v>7.7413675978394147</v>
      </c>
      <c r="D13" s="6">
        <f>IF('Data Sheet'!D93&gt;0,D12/'Data Sheet'!D93,0)</f>
        <v>8.4704875117309051</v>
      </c>
      <c r="E13" s="6">
        <f>IF('Data Sheet'!E93&gt;0,E12/'Data Sheet'!E93,0)</f>
        <v>9.2354334128135172</v>
      </c>
      <c r="F13" s="6">
        <f>IF('Data Sheet'!F93&gt;0,F12/'Data Sheet'!F93,0)</f>
        <v>10.272241528396393</v>
      </c>
      <c r="G13" s="6">
        <f>IF('Data Sheet'!G93&gt;0,G12/'Data Sheet'!G93,0)</f>
        <v>12.451985812141032</v>
      </c>
      <c r="H13" s="6">
        <f>IF('Data Sheet'!H93&gt;0,H12/'Data Sheet'!H93,0)</f>
        <v>10.692504549590536</v>
      </c>
      <c r="I13" s="6">
        <f>IF('Data Sheet'!I93&gt;0,I12/'Data Sheet'!I93,0)</f>
        <v>12.368975842509718</v>
      </c>
      <c r="J13" s="6">
        <f>IF('Data Sheet'!J93&gt;0,J12/'Data Sheet'!J93,0)</f>
        <v>15.442275506919859</v>
      </c>
      <c r="K13" s="6">
        <f>IF('Data Sheet'!K93&gt;0,K12/'Data Sheet'!K93,0)</f>
        <v>16.387081788108645</v>
      </c>
      <c r="L13" s="6" t="e">
        <f>IF('Data Sheet'!#REF!&gt;0,'Profit &amp; Loss'!L12/'Data Sheet'!#REF!,0)</f>
        <v>#REF!</v>
      </c>
      <c r="M13" s="6" t="e">
        <f>IF('Data Sheet'!#REF!&gt;0,'Profit &amp; Loss'!M12/'Data Sheet'!#REF!,0)</f>
        <v>#REF!</v>
      </c>
      <c r="N13" s="6" t="e">
        <f>IF('Data Sheet'!#REF!&gt;0,'Profit &amp; Loss'!N12/'Data Sheet'!#REF!,0)</f>
        <v>#REF!</v>
      </c>
    </row>
    <row r="14" spans="1:14">
      <c r="A14" t="s">
        <v>15</v>
      </c>
      <c r="B14" s="6">
        <f>IF(B15&gt;0,B15/B13,"")</f>
        <v>27.028619583428622</v>
      </c>
      <c r="C14" s="6">
        <f t="shared" ref="C14:K14" si="2">IF(C15&gt;0,C15/C13,"")</f>
        <v>28.267615151239504</v>
      </c>
      <c r="D14" s="6">
        <f t="shared" si="2"/>
        <v>33.091365710864736</v>
      </c>
      <c r="E14" s="6">
        <f t="shared" si="2"/>
        <v>27.665187823834195</v>
      </c>
      <c r="F14" s="6">
        <f t="shared" si="2"/>
        <v>28.937208999446483</v>
      </c>
      <c r="G14" s="6">
        <f t="shared" si="2"/>
        <v>13.788965277537315</v>
      </c>
      <c r="H14" s="6">
        <f t="shared" si="2"/>
        <v>20.434875569762308</v>
      </c>
      <c r="I14" s="6">
        <f t="shared" si="2"/>
        <v>20.264410181687449</v>
      </c>
      <c r="J14" s="6">
        <f t="shared" si="2"/>
        <v>24.834422869100429</v>
      </c>
      <c r="K14" s="6">
        <f t="shared" si="2"/>
        <v>26.139492408638247</v>
      </c>
      <c r="L14" s="6" t="e">
        <f t="shared" ref="L14" si="3">IF(L13&gt;0,L15/L13,0)</f>
        <v>#REF!</v>
      </c>
      <c r="M14" s="6" t="e">
        <f>M25</f>
        <v>#REF!</v>
      </c>
      <c r="N14" s="6" t="e">
        <f>N25</f>
        <v>#REF!</v>
      </c>
    </row>
    <row r="15" spans="1:14" s="2" customFormat="1">
      <c r="A15" s="2" t="s">
        <v>16</v>
      </c>
      <c r="B15" s="1">
        <f>'Data Sheet'!B90</f>
        <v>217.23</v>
      </c>
      <c r="C15" s="1">
        <f>'Data Sheet'!C90</f>
        <v>218.83</v>
      </c>
      <c r="D15" s="1">
        <f>'Data Sheet'!D90</f>
        <v>280.3</v>
      </c>
      <c r="E15" s="1">
        <f>'Data Sheet'!E90</f>
        <v>255.5</v>
      </c>
      <c r="F15" s="1">
        <f>'Data Sheet'!F90</f>
        <v>297.25</v>
      </c>
      <c r="G15" s="1">
        <f>'Data Sheet'!G90</f>
        <v>171.7</v>
      </c>
      <c r="H15" s="1">
        <f>'Data Sheet'!H90</f>
        <v>218.5</v>
      </c>
      <c r="I15" s="1">
        <f>'Data Sheet'!I90</f>
        <v>250.65</v>
      </c>
      <c r="J15" s="1">
        <f>'Data Sheet'!J90</f>
        <v>383.5</v>
      </c>
      <c r="K15" s="1">
        <f>'Data Sheet'!K90</f>
        <v>428.35</v>
      </c>
      <c r="L15" s="1" t="e">
        <f>'Data Sheet'!#REF!</f>
        <v>#REF!</v>
      </c>
      <c r="M15" s="8" t="e">
        <f>M13*M14</f>
        <v>#REF!</v>
      </c>
      <c r="N15" s="9" t="e">
        <f>N13*N14</f>
        <v>#REF!</v>
      </c>
    </row>
    <row r="17" spans="1:14" s="2" customFormat="1">
      <c r="A17" s="2" t="s">
        <v>17</v>
      </c>
    </row>
    <row r="18" spans="1:14">
      <c r="A18" t="s">
        <v>18</v>
      </c>
      <c r="B18" s="5">
        <f>IF('Data Sheet'!B30&gt;0, 'Data Sheet'!B31/'Data Sheet'!B30, 0)</f>
        <v>0.51843132222655708</v>
      </c>
      <c r="C18" s="5">
        <f>IF('Data Sheet'!C30&gt;0, 'Data Sheet'!C31/'Data Sheet'!C30, 0)</f>
        <v>0.73199813793214152</v>
      </c>
      <c r="D18" s="5">
        <f>IF('Data Sheet'!D30&gt;0, 'Data Sheet'!D31/'Data Sheet'!D30, 0)</f>
        <v>0.56077104293333746</v>
      </c>
      <c r="E18" s="5">
        <f>IF('Data Sheet'!E30&gt;0, 'Data Sheet'!E31/'Data Sheet'!E30, 0)</f>
        <v>0.55763450209383203</v>
      </c>
      <c r="F18" s="5">
        <f>IF('Data Sheet'!F30&gt;0, 'Data Sheet'!F31/'Data Sheet'!F30, 0)</f>
        <v>0.55976137855345276</v>
      </c>
      <c r="G18" s="5">
        <f>IF('Data Sheet'!G30&gt;0, 'Data Sheet'!G31/'Data Sheet'!G30, 0)</f>
        <v>0.8151308323473514</v>
      </c>
      <c r="H18" s="5">
        <f>IF('Data Sheet'!H30&gt;0, 'Data Sheet'!H31/'Data Sheet'!H30, 0)</f>
        <v>1.0053771733407084</v>
      </c>
      <c r="I18" s="5">
        <f>IF('Data Sheet'!I30&gt;0, 'Data Sheet'!I31/'Data Sheet'!I30, 0)</f>
        <v>0.92974585800641096</v>
      </c>
      <c r="J18" s="5">
        <f>IF('Data Sheet'!J30&gt;0, 'Data Sheet'!J31/'Data Sheet'!J30, 0)</f>
        <v>1.0037380820627295</v>
      </c>
      <c r="K18" s="5">
        <f>IF('Data Sheet'!K30&gt;0, 'Data Sheet'!K31/'Data Sheet'!K30, 0)</f>
        <v>0.83907544829163816</v>
      </c>
    </row>
    <row r="19" spans="1:14">
      <c r="A19" t="s">
        <v>19</v>
      </c>
      <c r="B19" s="5">
        <f t="shared" ref="B19:L19" si="4">IF(B6&gt;0,B6/B4,0)</f>
        <v>0.36714751082962055</v>
      </c>
      <c r="C19" s="5">
        <f t="shared" ref="C19:K19" si="5">IF(C6&gt;0,C6/C4,0)</f>
        <v>0.37077599822413199</v>
      </c>
      <c r="D19" s="5">
        <f t="shared" si="5"/>
        <v>0.36171096811605047</v>
      </c>
      <c r="E19" s="5">
        <f t="shared" si="5"/>
        <v>0.38022998950031928</v>
      </c>
      <c r="F19" s="5">
        <f t="shared" si="5"/>
        <v>0.38348264507056129</v>
      </c>
      <c r="G19" s="5">
        <f t="shared" si="5"/>
        <v>0.39166715599228147</v>
      </c>
      <c r="H19" s="5">
        <f t="shared" si="5"/>
        <v>0.34644058919006154</v>
      </c>
      <c r="I19" s="5">
        <f t="shared" si="5"/>
        <v>0.3400660636555245</v>
      </c>
      <c r="J19" s="5">
        <f t="shared" si="5"/>
        <v>0.36244517162741785</v>
      </c>
      <c r="K19" s="5">
        <f t="shared" si="5"/>
        <v>0.37017016005651215</v>
      </c>
      <c r="L19" s="5">
        <f t="shared" si="4"/>
        <v>0.36485074168809295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20</v>
      </c>
      <c r="H22" s="12" t="s">
        <v>21</v>
      </c>
      <c r="I22" s="12" t="s">
        <v>22</v>
      </c>
      <c r="J22" s="12" t="s">
        <v>23</v>
      </c>
      <c r="K22" s="12" t="s">
        <v>24</v>
      </c>
      <c r="L22" s="13" t="s">
        <v>25</v>
      </c>
      <c r="M22" s="13" t="s">
        <v>26</v>
      </c>
      <c r="N22" s="13" t="s">
        <v>27</v>
      </c>
    </row>
    <row r="23" spans="1:14" s="2" customFormat="1">
      <c r="A23"/>
      <c r="B23"/>
      <c r="C23"/>
      <c r="D23"/>
      <c r="E23"/>
      <c r="F23"/>
      <c r="G23" t="s">
        <v>28</v>
      </c>
      <c r="H23" s="5">
        <f>IF(B4=0,"",POWER($K4/B4,1/9)-1)</f>
        <v>6.9168562118728794E-2</v>
      </c>
      <c r="I23" s="5">
        <f>IF(D4=0,"",POWER($K4/D4,1/7)-1)</f>
        <v>7.4810883698475106E-2</v>
      </c>
      <c r="J23" s="5">
        <f>IF(F4=0,"",POWER($K4/F4,1/5)-1)</f>
        <v>7.9511514582520038E-2</v>
      </c>
      <c r="K23" s="5">
        <f>IF(H4=0,"",POWER($K4/H4, 1/3)-1)</f>
        <v>0.12890080047839403</v>
      </c>
      <c r="L23" s="5">
        <f>IF(ISERROR(MAX(IF(J4=0,"",(K4-J4)/J4),IF(K4=0,"",(L4-K4)/K4))),"",MAX(IF(J4=0,"",(K4-J4)/J4),IF(K4=0,"",(L4-K4)/K4)))</f>
        <v>1.8452374064822339E-2</v>
      </c>
      <c r="M23" s="16">
        <f>MAX(K23:L23)</f>
        <v>0.12890080047839403</v>
      </c>
      <c r="N23" s="16">
        <f>MIN(H23:L23)</f>
        <v>1.8452374064822339E-2</v>
      </c>
    </row>
    <row r="24" spans="1:14">
      <c r="G24" t="s">
        <v>19</v>
      </c>
      <c r="H24" s="5">
        <f>IF(SUM(B4:$K$4)=0,"",SUMPRODUCT(B19:$K$19,B4:$K$4)/SUM(B4:$K$4))</f>
        <v>0.36655785446434302</v>
      </c>
      <c r="I24" s="5">
        <f>IF(SUM(E4:$K$4)=0,"",SUMPRODUCT(E19:$K$19,E4:$K$4)/SUM(E4:$K$4))</f>
        <v>0.36660642860499176</v>
      </c>
      <c r="J24" s="5">
        <f>IF(SUM(G4:$K$4)=0,"",SUMPRODUCT(G19:$K$19,G4:$K$4)/SUM(G4:$K$4))</f>
        <v>0.36193078706583809</v>
      </c>
      <c r="K24" s="5">
        <f>IF(SUM(I4:$K$4)=0, "", SUMPRODUCT(I19:$K$19,I4:$K$4)/SUM(I4:$K$4))</f>
        <v>0.35844511818146924</v>
      </c>
      <c r="L24" s="5">
        <f>L19</f>
        <v>0.36485074168809295</v>
      </c>
      <c r="M24" s="16">
        <f>MAX(K24:L24)</f>
        <v>0.36485074168809295</v>
      </c>
      <c r="N24" s="16">
        <f>MIN(H24:L24)</f>
        <v>0.35844511818146924</v>
      </c>
    </row>
    <row r="25" spans="1:14">
      <c r="G25" t="s">
        <v>29</v>
      </c>
      <c r="H25" s="6">
        <f>IF(ISERROR(AVERAGEIF(B14:$L14,"&gt;0")),"",AVERAGEIF(B14:$L14,"&gt;0"))</f>
        <v>25.045216357553926</v>
      </c>
      <c r="I25" s="6">
        <f>IF(ISERROR(AVERAGEIF(E14:$L14,"&gt;0")),"",AVERAGEIF(E14:$L14,"&gt;0"))</f>
        <v>23.152080447143778</v>
      </c>
      <c r="J25" s="6">
        <f>IF(ISERROR(AVERAGEIF(G14:$L14,"&gt;0")),"",AVERAGEIF(G14:$L14,"&gt;0"))</f>
        <v>21.092433261345153</v>
      </c>
      <c r="K25" s="6">
        <f>IF(ISERROR(AVERAGEIF(I14:$L14,"&gt;0")),"",AVERAGEIF(I14:$L14,"&gt;0"))</f>
        <v>23.746108486475375</v>
      </c>
      <c r="L25" s="6" t="e">
        <f>L14</f>
        <v>#REF!</v>
      </c>
      <c r="M25" s="1" t="e">
        <f>MAX(K25:L25)</f>
        <v>#REF!</v>
      </c>
      <c r="N25" s="1" t="e">
        <f>MIN(H25:L25)</f>
        <v>#REF!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bottomRight" activeCell="K5" sqref="K5"/>
      <selection pane="bottomLeft" activeCell="A4" sqref="A4"/>
      <selection pane="topRight" activeCell="B1" sqref="B1"/>
    </sheetView>
  </sheetViews>
  <sheetFormatPr defaultColWidth="8.85546875" defaultRowHeight="14.25"/>
  <cols>
    <col min="1" max="1" width="20.7109375" customWidth="1"/>
    <col min="2" max="11" width="13.42578125" bestFit="1" customWidth="1"/>
  </cols>
  <sheetData>
    <row r="1" spans="1:11" s="2" customFormat="1">
      <c r="A1" s="2" t="e">
        <f>'Profit &amp; Loss'!A1</f>
        <v>#REF!</v>
      </c>
      <c r="E1">
        <f>UPDATE</f>
        <v>0</v>
      </c>
      <c r="J1" s="2" t="s">
        <v>0</v>
      </c>
    </row>
    <row r="3" spans="1:11" s="2" customFormat="1">
      <c r="A3" s="11" t="s">
        <v>1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>
      <c r="A4" s="2" t="s">
        <v>5</v>
      </c>
      <c r="B4" s="1">
        <f>'Data Sheet'!B42</f>
        <v>16555.53</v>
      </c>
      <c r="C4" s="1">
        <f>'Data Sheet'!C42</f>
        <v>18489.45</v>
      </c>
      <c r="D4" s="1">
        <f>'Data Sheet'!D42</f>
        <v>17107.990000000002</v>
      </c>
      <c r="E4" s="1">
        <f>'Data Sheet'!E42</f>
        <v>17704.52</v>
      </c>
      <c r="F4" s="1">
        <f>'Data Sheet'!F42</f>
        <v>17634.89</v>
      </c>
      <c r="G4" s="1">
        <f>'Data Sheet'!G42</f>
        <v>17164.46</v>
      </c>
      <c r="H4" s="1">
        <f>'Data Sheet'!H42</f>
        <v>17774.47</v>
      </c>
      <c r="I4" s="1">
        <f>'Data Sheet'!I42</f>
        <v>18019.37</v>
      </c>
      <c r="J4" s="1">
        <f>'Data Sheet'!J42</f>
        <v>17922.7</v>
      </c>
      <c r="K4" s="1">
        <f>'Data Sheet'!K42</f>
        <v>18457.330000000002</v>
      </c>
    </row>
    <row r="5" spans="1:11">
      <c r="A5" t="s">
        <v>6</v>
      </c>
      <c r="B5" s="6">
        <f>'Data Sheet'!B43</f>
        <v>10956.13</v>
      </c>
      <c r="C5" s="6">
        <f>'Data Sheet'!C43</f>
        <v>12412.32</v>
      </c>
      <c r="D5" s="6">
        <f>'Data Sheet'!D43</f>
        <v>10848.89</v>
      </c>
      <c r="E5" s="6">
        <f>'Data Sheet'!E43</f>
        <v>10999.82</v>
      </c>
      <c r="F5" s="6">
        <f>'Data Sheet'!F43</f>
        <v>11010.89</v>
      </c>
      <c r="G5" s="6">
        <f>'Data Sheet'!G43</f>
        <v>10494.39</v>
      </c>
      <c r="H5" s="6">
        <f>'Data Sheet'!H43</f>
        <v>11320.23</v>
      </c>
      <c r="I5" s="6">
        <f>'Data Sheet'!I43</f>
        <v>11515.55</v>
      </c>
      <c r="J5" s="6">
        <f>'Data Sheet'!J43</f>
        <v>11296.48</v>
      </c>
      <c r="K5" s="6">
        <f>'Data Sheet'!K43</f>
        <v>11708.92</v>
      </c>
    </row>
    <row r="6" spans="1:11" s="2" customFormat="1">
      <c r="A6" s="2" t="s">
        <v>7</v>
      </c>
      <c r="B6" s="1">
        <f>'Data Sheet'!B50</f>
        <v>5599.4</v>
      </c>
      <c r="C6" s="1">
        <f>'Data Sheet'!C50</f>
        <v>6077.13</v>
      </c>
      <c r="D6" s="1">
        <f>'Data Sheet'!D50</f>
        <v>6259.1</v>
      </c>
      <c r="E6" s="1">
        <f>'Data Sheet'!E50</f>
        <v>6704.7</v>
      </c>
      <c r="F6" s="1">
        <f>'Data Sheet'!F50</f>
        <v>6624</v>
      </c>
      <c r="G6" s="1">
        <f>'Data Sheet'!G50</f>
        <v>6670.07</v>
      </c>
      <c r="H6" s="1">
        <f>'Data Sheet'!H50</f>
        <v>6454.24</v>
      </c>
      <c r="I6" s="1">
        <f>'Data Sheet'!I50</f>
        <v>6503.82</v>
      </c>
      <c r="J6" s="1">
        <f>'Data Sheet'!J50</f>
        <v>6626.22</v>
      </c>
      <c r="K6" s="1">
        <f>'Data Sheet'!K50</f>
        <v>6748.41</v>
      </c>
    </row>
    <row r="7" spans="1:11">
      <c r="A7" t="s">
        <v>8</v>
      </c>
      <c r="B7" s="6">
        <f>'Data Sheet'!B44</f>
        <v>498.62</v>
      </c>
      <c r="C7" s="6">
        <f>'Data Sheet'!C44</f>
        <v>320.73</v>
      </c>
      <c r="D7" s="6">
        <f>'Data Sheet'!D44</f>
        <v>454.68</v>
      </c>
      <c r="E7" s="6">
        <f>'Data Sheet'!E44</f>
        <v>595.42999999999995</v>
      </c>
      <c r="F7" s="6">
        <f>'Data Sheet'!F44</f>
        <v>682.52</v>
      </c>
      <c r="G7" s="6">
        <f>'Data Sheet'!G44</f>
        <v>722.3</v>
      </c>
      <c r="H7" s="6">
        <f>'Data Sheet'!H44</f>
        <v>664.88</v>
      </c>
      <c r="I7" s="6">
        <f>'Data Sheet'!I44</f>
        <v>651.30999999999995</v>
      </c>
      <c r="J7" s="6">
        <f>'Data Sheet'!J44</f>
        <v>681.78</v>
      </c>
      <c r="K7" s="6">
        <f>'Data Sheet'!K44</f>
        <v>691.84</v>
      </c>
    </row>
    <row r="8" spans="1:11">
      <c r="A8" t="s">
        <v>9</v>
      </c>
      <c r="B8" s="6">
        <f>'Data Sheet'!B45</f>
        <v>466.96</v>
      </c>
      <c r="C8" s="6">
        <f>'Data Sheet'!C45</f>
        <v>438.12</v>
      </c>
      <c r="D8" s="6">
        <f>'Data Sheet'!D45</f>
        <v>462.38</v>
      </c>
      <c r="E8" s="6">
        <f>'Data Sheet'!E45</f>
        <v>447.11</v>
      </c>
      <c r="F8" s="6">
        <f>'Data Sheet'!F45</f>
        <v>461.4</v>
      </c>
      <c r="G8" s="6">
        <f>'Data Sheet'!G45</f>
        <v>442.46</v>
      </c>
      <c r="H8" s="6">
        <f>'Data Sheet'!H45</f>
        <v>453.04</v>
      </c>
      <c r="I8" s="6">
        <f>'Data Sheet'!I45</f>
        <v>459.45</v>
      </c>
      <c r="J8" s="6">
        <f>'Data Sheet'!J45</f>
        <v>461.44</v>
      </c>
      <c r="K8" s="6">
        <f>'Data Sheet'!K45</f>
        <v>498.57</v>
      </c>
    </row>
    <row r="9" spans="1:11">
      <c r="A9" t="s">
        <v>10</v>
      </c>
      <c r="B9" s="6">
        <f>'Data Sheet'!B46</f>
        <v>10.71</v>
      </c>
      <c r="C9" s="6">
        <f>'Data Sheet'!C46</f>
        <v>9.25</v>
      </c>
      <c r="D9" s="6">
        <f>'Data Sheet'!D46</f>
        <v>12.59</v>
      </c>
      <c r="E9" s="6">
        <f>'Data Sheet'!E46</f>
        <v>9.2100000000000009</v>
      </c>
      <c r="F9" s="6">
        <f>'Data Sheet'!F46</f>
        <v>12.15</v>
      </c>
      <c r="G9" s="6">
        <f>'Data Sheet'!G46</f>
        <v>9.9</v>
      </c>
      <c r="H9" s="6">
        <f>'Data Sheet'!H46</f>
        <v>9.8699999999999992</v>
      </c>
      <c r="I9" s="6">
        <f>'Data Sheet'!I46</f>
        <v>13.6</v>
      </c>
      <c r="J9" s="6">
        <f>'Data Sheet'!J46</f>
        <v>12.59</v>
      </c>
      <c r="K9" s="6">
        <f>'Data Sheet'!K46</f>
        <v>11.25</v>
      </c>
    </row>
    <row r="10" spans="1:11">
      <c r="A10" t="s">
        <v>11</v>
      </c>
      <c r="B10" s="6">
        <f>'Data Sheet'!B47</f>
        <v>5620.35</v>
      </c>
      <c r="C10" s="6">
        <f>'Data Sheet'!C47</f>
        <v>5950.49</v>
      </c>
      <c r="D10" s="6">
        <f>'Data Sheet'!D47</f>
        <v>6238.81</v>
      </c>
      <c r="E10" s="6">
        <f>'Data Sheet'!E47</f>
        <v>6843.81</v>
      </c>
      <c r="F10" s="6">
        <f>'Data Sheet'!F47</f>
        <v>6832.97</v>
      </c>
      <c r="G10" s="6">
        <f>'Data Sheet'!G47</f>
        <v>6940.01</v>
      </c>
      <c r="H10" s="6">
        <f>'Data Sheet'!H47</f>
        <v>6656.21</v>
      </c>
      <c r="I10" s="6">
        <f>'Data Sheet'!I47</f>
        <v>6682.08</v>
      </c>
      <c r="J10" s="6">
        <f>'Data Sheet'!J47</f>
        <v>6833.97</v>
      </c>
      <c r="K10" s="6">
        <f>'Data Sheet'!K47</f>
        <v>6930.43</v>
      </c>
    </row>
    <row r="11" spans="1:11">
      <c r="A11" t="s">
        <v>12</v>
      </c>
      <c r="B11" s="6">
        <f>'Data Sheet'!B48</f>
        <v>1360.67</v>
      </c>
      <c r="C11" s="6">
        <f>'Data Sheet'!C48</f>
        <v>1488.24</v>
      </c>
      <c r="D11" s="6">
        <f>'Data Sheet'!D48</f>
        <v>1568.49</v>
      </c>
      <c r="E11" s="6">
        <f>'Data Sheet'!E48</f>
        <v>1773.72</v>
      </c>
      <c r="F11" s="6">
        <f>'Data Sheet'!F48</f>
        <v>1607.95</v>
      </c>
      <c r="G11" s="6">
        <f>'Data Sheet'!G48</f>
        <v>1759.89</v>
      </c>
      <c r="H11" s="6">
        <f>'Data Sheet'!H48</f>
        <v>1700.31</v>
      </c>
      <c r="I11" s="6">
        <f>'Data Sheet'!I48</f>
        <v>1281.57</v>
      </c>
      <c r="J11" s="6">
        <f>'Data Sheet'!J48</f>
        <v>1646.75</v>
      </c>
      <c r="K11" s="6">
        <f>'Data Sheet'!K48</f>
        <v>1761.06</v>
      </c>
    </row>
    <row r="12" spans="1:11" s="2" customFormat="1">
      <c r="A12" s="2" t="s">
        <v>13</v>
      </c>
      <c r="B12" s="1">
        <f>'Data Sheet'!B49</f>
        <v>4195.6899999999996</v>
      </c>
      <c r="C12" s="1">
        <f>'Data Sheet'!C49</f>
        <v>4389.76</v>
      </c>
      <c r="D12" s="1">
        <f>'Data Sheet'!D49</f>
        <v>4619.7700000000004</v>
      </c>
      <c r="E12" s="1">
        <f>'Data Sheet'!E49</f>
        <v>5006.6499999999996</v>
      </c>
      <c r="F12" s="1">
        <f>'Data Sheet'!F49</f>
        <v>5175.4799999999996</v>
      </c>
      <c r="G12" s="1">
        <f>'Data Sheet'!G49</f>
        <v>5104.93</v>
      </c>
      <c r="H12" s="1">
        <f>'Data Sheet'!H49</f>
        <v>4898.07</v>
      </c>
      <c r="I12" s="1">
        <f>'Data Sheet'!I49</f>
        <v>5335.23</v>
      </c>
      <c r="J12" s="1">
        <f>'Data Sheet'!J49</f>
        <v>5120.55</v>
      </c>
      <c r="K12" s="1">
        <f>'Data Sheet'!K49</f>
        <v>5091.59</v>
      </c>
    </row>
    <row r="14" spans="1:11" s="2" customFormat="1">
      <c r="A14" s="2" t="s">
        <v>19</v>
      </c>
      <c r="B14" s="10">
        <f>IF(B4&gt;0,B6/B4,"")</f>
        <v>0.33821931402981359</v>
      </c>
      <c r="C14" s="10">
        <f t="shared" ref="C14:K14" si="0">IF(C4&gt;0,C6/C4,"")</f>
        <v>0.32868095048798096</v>
      </c>
      <c r="D14" s="10">
        <f t="shared" si="0"/>
        <v>0.36585829194429037</v>
      </c>
      <c r="E14" s="10">
        <f t="shared" si="0"/>
        <v>0.37869990262373676</v>
      </c>
      <c r="F14" s="10">
        <f t="shared" si="0"/>
        <v>0.37561901435166312</v>
      </c>
      <c r="G14" s="10">
        <f t="shared" si="0"/>
        <v>0.38859771877472404</v>
      </c>
      <c r="H14" s="10">
        <f t="shared" si="0"/>
        <v>0.3631185627475812</v>
      </c>
      <c r="I14" s="10">
        <f t="shared" si="0"/>
        <v>0.36093492724773396</v>
      </c>
      <c r="J14" s="10">
        <f t="shared" si="0"/>
        <v>0.36971103684154732</v>
      </c>
      <c r="K14" s="10">
        <f t="shared" si="0"/>
        <v>0.36562222163227287</v>
      </c>
    </row>
    <row r="22" s="23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B4" activePane="bottomRight" state="frozen"/>
      <selection pane="bottomRight" activeCell="K24" sqref="K24"/>
      <selection pane="bottomLeft" activeCell="K24" sqref="K24"/>
      <selection pane="topRight" activeCell="K24" sqref="K24"/>
    </sheetView>
  </sheetViews>
  <sheetFormatPr defaultColWidth="8.85546875" defaultRowHeight="14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>
      <c r="A1" s="2" t="e">
        <f>'Profit &amp; Loss'!A1</f>
        <v>#REF!</v>
      </c>
      <c r="E1">
        <f>UPDATE</f>
        <v>0</v>
      </c>
      <c r="G1"/>
      <c r="J1" s="2" t="s">
        <v>0</v>
      </c>
    </row>
    <row r="2" spans="1:11">
      <c r="G2" s="2"/>
      <c r="H2" s="2"/>
    </row>
    <row r="3" spans="1:11">
      <c r="A3" s="11" t="s">
        <v>1</v>
      </c>
      <c r="B3" s="12">
        <f>'Data Sheet'!B56</f>
        <v>42094</v>
      </c>
      <c r="C3" s="12">
        <f>'Data Sheet'!C56</f>
        <v>42460</v>
      </c>
      <c r="D3" s="12">
        <f>'Data Sheet'!D56</f>
        <v>42825</v>
      </c>
      <c r="E3" s="12">
        <f>'Data Sheet'!E56</f>
        <v>43190</v>
      </c>
      <c r="F3" s="12">
        <f>'Data Sheet'!F56</f>
        <v>43555</v>
      </c>
      <c r="G3" s="12">
        <f>'Data Sheet'!G56</f>
        <v>43921</v>
      </c>
      <c r="H3" s="12">
        <f>'Data Sheet'!H56</f>
        <v>44286</v>
      </c>
      <c r="I3" s="12">
        <f>'Data Sheet'!I56</f>
        <v>44651</v>
      </c>
      <c r="J3" s="12">
        <f>'Data Sheet'!J56</f>
        <v>45016</v>
      </c>
      <c r="K3" s="12">
        <f>'Data Sheet'!K56</f>
        <v>45382</v>
      </c>
    </row>
    <row r="4" spans="1:11">
      <c r="A4" t="s">
        <v>30</v>
      </c>
      <c r="B4" s="14">
        <f>'Data Sheet'!B57</f>
        <v>801.55</v>
      </c>
      <c r="C4" s="14">
        <f>'Data Sheet'!C57</f>
        <v>804.72</v>
      </c>
      <c r="D4" s="14">
        <f>'Data Sheet'!D57</f>
        <v>1214.74</v>
      </c>
      <c r="E4" s="14">
        <f>'Data Sheet'!E57</f>
        <v>1220.43</v>
      </c>
      <c r="F4" s="14">
        <f>'Data Sheet'!F57</f>
        <v>1225.8599999999999</v>
      </c>
      <c r="G4" s="14">
        <f>'Data Sheet'!G57</f>
        <v>1229.22</v>
      </c>
      <c r="H4" s="14">
        <f>'Data Sheet'!H57</f>
        <v>1230.8800000000001</v>
      </c>
      <c r="I4" s="14">
        <f>'Data Sheet'!I57</f>
        <v>1232.33</v>
      </c>
      <c r="J4" s="14">
        <f>'Data Sheet'!J57</f>
        <v>1242.8</v>
      </c>
      <c r="K4" s="14">
        <f>'Data Sheet'!K57</f>
        <v>1248.47</v>
      </c>
    </row>
    <row r="5" spans="1:11">
      <c r="A5" t="s">
        <v>31</v>
      </c>
      <c r="B5" s="14">
        <f>'Data Sheet'!B58</f>
        <v>30933.94</v>
      </c>
      <c r="C5" s="14">
        <f>'Data Sheet'!C58</f>
        <v>41874.800000000003</v>
      </c>
      <c r="D5" s="14">
        <f>'Data Sheet'!D58</f>
        <v>45198.19</v>
      </c>
      <c r="E5" s="14">
        <f>'Data Sheet'!E58</f>
        <v>51289.68</v>
      </c>
      <c r="F5" s="14">
        <f>'Data Sheet'!F58</f>
        <v>57915.01</v>
      </c>
      <c r="G5" s="14">
        <f>'Data Sheet'!G58</f>
        <v>64044.04</v>
      </c>
      <c r="H5" s="14">
        <f>'Data Sheet'!H58</f>
        <v>59116.46</v>
      </c>
      <c r="I5" s="14">
        <f>'Data Sheet'!I58</f>
        <v>61223.24</v>
      </c>
      <c r="J5" s="14">
        <f>'Data Sheet'!J58</f>
        <v>67912.460000000006</v>
      </c>
      <c r="K5" s="14">
        <f>'Data Sheet'!K58</f>
        <v>73258.53</v>
      </c>
    </row>
    <row r="6" spans="1:11">
      <c r="A6" t="s">
        <v>32</v>
      </c>
      <c r="B6" s="14">
        <f>'Data Sheet'!B59</f>
        <v>268.8</v>
      </c>
      <c r="C6" s="14">
        <f>'Data Sheet'!C59</f>
        <v>83.78</v>
      </c>
      <c r="D6" s="14">
        <f>'Data Sheet'!D59</f>
        <v>45.72</v>
      </c>
      <c r="E6" s="14">
        <f>'Data Sheet'!E59</f>
        <v>35.92</v>
      </c>
      <c r="F6" s="14">
        <f>'Data Sheet'!F59</f>
        <v>13.44</v>
      </c>
      <c r="G6" s="14">
        <f>'Data Sheet'!G59</f>
        <v>277.45</v>
      </c>
      <c r="H6" s="14">
        <f>'Data Sheet'!H59</f>
        <v>270.83</v>
      </c>
      <c r="I6" s="14">
        <f>'Data Sheet'!I59</f>
        <v>249.44</v>
      </c>
      <c r="J6" s="14">
        <f>'Data Sheet'!J59</f>
        <v>306.04000000000002</v>
      </c>
      <c r="K6" s="14">
        <f>'Data Sheet'!K59</f>
        <v>303.43</v>
      </c>
    </row>
    <row r="7" spans="1:11">
      <c r="A7" t="s">
        <v>33</v>
      </c>
      <c r="B7" s="14">
        <f>'Data Sheet'!B60</f>
        <v>13947.93</v>
      </c>
      <c r="C7" s="14">
        <f>'Data Sheet'!C60</f>
        <v>8888.0400000000009</v>
      </c>
      <c r="D7" s="14">
        <f>'Data Sheet'!D60</f>
        <v>9439.67</v>
      </c>
      <c r="E7" s="14">
        <f>'Data Sheet'!E60</f>
        <v>11694.85</v>
      </c>
      <c r="F7" s="14">
        <f>'Data Sheet'!F60</f>
        <v>12584.73</v>
      </c>
      <c r="G7" s="14">
        <f>'Data Sheet'!G60</f>
        <v>11760.04</v>
      </c>
      <c r="H7" s="14">
        <f>'Data Sheet'!H60</f>
        <v>13142.59</v>
      </c>
      <c r="I7" s="14">
        <f>'Data Sheet'!I60</f>
        <v>14491.01</v>
      </c>
      <c r="J7" s="14">
        <f>'Data Sheet'!J60</f>
        <v>16369.66</v>
      </c>
      <c r="K7" s="14">
        <f>'Data Sheet'!K60</f>
        <v>16943.54</v>
      </c>
    </row>
    <row r="8" spans="1:11" s="2" customFormat="1">
      <c r="A8" s="2" t="s">
        <v>34</v>
      </c>
      <c r="B8" s="15">
        <f>'Data Sheet'!B61</f>
        <v>45952.22</v>
      </c>
      <c r="C8" s="15">
        <f>'Data Sheet'!C61</f>
        <v>51651.34</v>
      </c>
      <c r="D8" s="15">
        <f>'Data Sheet'!D61</f>
        <v>55898.32</v>
      </c>
      <c r="E8" s="15">
        <f>'Data Sheet'!E61</f>
        <v>64240.88</v>
      </c>
      <c r="F8" s="15">
        <f>'Data Sheet'!F61</f>
        <v>71739.039999999994</v>
      </c>
      <c r="G8" s="15">
        <f>'Data Sheet'!G61</f>
        <v>77310.75</v>
      </c>
      <c r="H8" s="15">
        <f>'Data Sheet'!H61</f>
        <v>73760.759999999995</v>
      </c>
      <c r="I8" s="15">
        <f>'Data Sheet'!I61</f>
        <v>77196.02</v>
      </c>
      <c r="J8" s="15">
        <f>'Data Sheet'!J61</f>
        <v>85830.96</v>
      </c>
      <c r="K8" s="15">
        <f>'Data Sheet'!K61</f>
        <v>91753.97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35</v>
      </c>
      <c r="B10" s="14">
        <f>'Data Sheet'!B62</f>
        <v>15303.28</v>
      </c>
      <c r="C10" s="14">
        <f>'Data Sheet'!C62</f>
        <v>15106.63</v>
      </c>
      <c r="D10" s="14">
        <f>'Data Sheet'!D62</f>
        <v>15893.48</v>
      </c>
      <c r="E10" s="14">
        <f>'Data Sheet'!E62</f>
        <v>16523.96</v>
      </c>
      <c r="F10" s="14">
        <f>'Data Sheet'!F62</f>
        <v>19374.189999999999</v>
      </c>
      <c r="G10" s="14">
        <f>'Data Sheet'!G62</f>
        <v>21713.34</v>
      </c>
      <c r="H10" s="14">
        <f>'Data Sheet'!H62</f>
        <v>23298.48</v>
      </c>
      <c r="I10" s="14">
        <f>'Data Sheet'!I62</f>
        <v>24231.59</v>
      </c>
      <c r="J10" s="14">
        <f>'Data Sheet'!J62</f>
        <v>25851.27</v>
      </c>
      <c r="K10" s="14">
        <f>'Data Sheet'!K62</f>
        <v>27820.22</v>
      </c>
    </row>
    <row r="11" spans="1:11">
      <c r="A11" t="s">
        <v>36</v>
      </c>
      <c r="B11" s="14">
        <f>'Data Sheet'!B63</f>
        <v>2700.2</v>
      </c>
      <c r="C11" s="14">
        <f>'Data Sheet'!C63</f>
        <v>2559.7199999999998</v>
      </c>
      <c r="D11" s="14">
        <f>'Data Sheet'!D63</f>
        <v>3729.89</v>
      </c>
      <c r="E11" s="14">
        <f>'Data Sheet'!E63</f>
        <v>5508.33</v>
      </c>
      <c r="F11" s="14">
        <f>'Data Sheet'!F63</f>
        <v>4136.42</v>
      </c>
      <c r="G11" s="14">
        <f>'Data Sheet'!G63</f>
        <v>3256.46</v>
      </c>
      <c r="H11" s="14">
        <f>'Data Sheet'!H63</f>
        <v>4011.29</v>
      </c>
      <c r="I11" s="14">
        <f>'Data Sheet'!I63</f>
        <v>3225.54</v>
      </c>
      <c r="J11" s="14">
        <f>'Data Sheet'!J63</f>
        <v>3003.3</v>
      </c>
      <c r="K11" s="14">
        <f>'Data Sheet'!K63</f>
        <v>2860.78</v>
      </c>
    </row>
    <row r="12" spans="1:11">
      <c r="A12" t="s">
        <v>37</v>
      </c>
      <c r="B12" s="14">
        <f>'Data Sheet'!B64</f>
        <v>6942.77</v>
      </c>
      <c r="C12" s="14">
        <f>'Data Sheet'!C64</f>
        <v>11747.59</v>
      </c>
      <c r="D12" s="14">
        <f>'Data Sheet'!D64</f>
        <v>17581.38</v>
      </c>
      <c r="E12" s="14">
        <f>'Data Sheet'!E64</f>
        <v>22052.86</v>
      </c>
      <c r="F12" s="14">
        <f>'Data Sheet'!F64</f>
        <v>25043.49</v>
      </c>
      <c r="G12" s="14">
        <f>'Data Sheet'!G64</f>
        <v>28663.35</v>
      </c>
      <c r="H12" s="14">
        <f>'Data Sheet'!H64</f>
        <v>24870.87</v>
      </c>
      <c r="I12" s="14">
        <f>'Data Sheet'!I64</f>
        <v>24841.01</v>
      </c>
      <c r="J12" s="14">
        <f>'Data Sheet'!J64</f>
        <v>29415.02</v>
      </c>
      <c r="K12" s="14">
        <f>'Data Sheet'!K64</f>
        <v>31114.02</v>
      </c>
    </row>
    <row r="13" spans="1:11">
      <c r="A13" t="s">
        <v>38</v>
      </c>
      <c r="B13" s="14">
        <f>'Data Sheet'!B65</f>
        <v>21005.97</v>
      </c>
      <c r="C13" s="14">
        <f>'Data Sheet'!C65</f>
        <v>22237.4</v>
      </c>
      <c r="D13" s="14">
        <f>'Data Sheet'!D65</f>
        <v>18693.57</v>
      </c>
      <c r="E13" s="14">
        <f>'Data Sheet'!E65</f>
        <v>20155.73</v>
      </c>
      <c r="F13" s="14">
        <f>'Data Sheet'!F65</f>
        <v>23184.94</v>
      </c>
      <c r="G13" s="14">
        <f>'Data Sheet'!G65</f>
        <v>23677.599999999999</v>
      </c>
      <c r="H13" s="14">
        <f>'Data Sheet'!H65</f>
        <v>21580.12</v>
      </c>
      <c r="I13" s="14">
        <f>'Data Sheet'!I65</f>
        <v>24897.88</v>
      </c>
      <c r="J13" s="14">
        <f>'Data Sheet'!J65</f>
        <v>27561.37</v>
      </c>
      <c r="K13" s="14">
        <f>'Data Sheet'!K65</f>
        <v>29958.95</v>
      </c>
    </row>
    <row r="14" spans="1:11" s="2" customFormat="1">
      <c r="A14" s="2" t="s">
        <v>34</v>
      </c>
      <c r="B14" s="14">
        <f>'Data Sheet'!B66</f>
        <v>45952.22</v>
      </c>
      <c r="C14" s="14">
        <f>'Data Sheet'!C66</f>
        <v>51651.34</v>
      </c>
      <c r="D14" s="14">
        <f>'Data Sheet'!D66</f>
        <v>55898.32</v>
      </c>
      <c r="E14" s="14">
        <f>'Data Sheet'!E66</f>
        <v>64240.88</v>
      </c>
      <c r="F14" s="14">
        <f>'Data Sheet'!F66</f>
        <v>71739.039999999994</v>
      </c>
      <c r="G14" s="14">
        <f>'Data Sheet'!G66</f>
        <v>77310.75</v>
      </c>
      <c r="H14" s="14">
        <f>'Data Sheet'!H66</f>
        <v>73760.759999999995</v>
      </c>
      <c r="I14" s="14">
        <f>'Data Sheet'!I66</f>
        <v>77196.02</v>
      </c>
      <c r="J14" s="14">
        <f>'Data Sheet'!J66</f>
        <v>85830.96</v>
      </c>
      <c r="K14" s="14">
        <f>'Data Sheet'!K66</f>
        <v>91753.97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39</v>
      </c>
      <c r="B16" s="4">
        <f>B13-B7</f>
        <v>7058.0400000000009</v>
      </c>
      <c r="C16" s="4">
        <f t="shared" ref="C16:K16" si="0">C13-C7</f>
        <v>13349.36</v>
      </c>
      <c r="D16" s="4">
        <f t="shared" si="0"/>
        <v>9253.9</v>
      </c>
      <c r="E16" s="4">
        <f t="shared" si="0"/>
        <v>8460.8799999999992</v>
      </c>
      <c r="F16" s="4">
        <f t="shared" si="0"/>
        <v>10600.21</v>
      </c>
      <c r="G16" s="4">
        <f t="shared" si="0"/>
        <v>11917.559999999998</v>
      </c>
      <c r="H16" s="4">
        <f t="shared" si="0"/>
        <v>8437.5299999999988</v>
      </c>
      <c r="I16" s="4">
        <f t="shared" si="0"/>
        <v>10406.870000000001</v>
      </c>
      <c r="J16" s="4">
        <f t="shared" si="0"/>
        <v>11191.71</v>
      </c>
      <c r="K16" s="4">
        <f t="shared" si="0"/>
        <v>13015.41</v>
      </c>
    </row>
    <row r="17" spans="1:11">
      <c r="A17" t="s">
        <v>40</v>
      </c>
      <c r="B17" s="4">
        <f>'Data Sheet'!B67</f>
        <v>1982.07</v>
      </c>
      <c r="C17" s="4">
        <f>'Data Sheet'!C67</f>
        <v>1917.18</v>
      </c>
      <c r="D17" s="4">
        <f>'Data Sheet'!D67</f>
        <v>2474.29</v>
      </c>
      <c r="E17" s="4">
        <f>'Data Sheet'!E67</f>
        <v>2682.29</v>
      </c>
      <c r="F17" s="4">
        <f>'Data Sheet'!F67</f>
        <v>4035.28</v>
      </c>
      <c r="G17" s="4">
        <f>'Data Sheet'!G67</f>
        <v>2562.48</v>
      </c>
      <c r="H17" s="4">
        <f>'Data Sheet'!H67</f>
        <v>2501.6999999999998</v>
      </c>
      <c r="I17" s="4">
        <f>'Data Sheet'!I67</f>
        <v>2461.9</v>
      </c>
      <c r="J17" s="4">
        <f>'Data Sheet'!J67</f>
        <v>2956.17</v>
      </c>
      <c r="K17" s="4">
        <f>'Data Sheet'!K67</f>
        <v>4025.82</v>
      </c>
    </row>
    <row r="18" spans="1:11">
      <c r="A18" t="s">
        <v>41</v>
      </c>
      <c r="B18" s="4">
        <f>'Data Sheet'!B68</f>
        <v>8586.8700000000008</v>
      </c>
      <c r="C18" s="4">
        <f>'Data Sheet'!C68</f>
        <v>9062.1</v>
      </c>
      <c r="D18" s="4">
        <f>'Data Sheet'!D68</f>
        <v>8116.1</v>
      </c>
      <c r="E18" s="4">
        <f>'Data Sheet'!E68</f>
        <v>7495.09</v>
      </c>
      <c r="F18" s="4">
        <f>'Data Sheet'!F68</f>
        <v>7859.56</v>
      </c>
      <c r="G18" s="4">
        <f>'Data Sheet'!G68</f>
        <v>8879.33</v>
      </c>
      <c r="H18" s="4">
        <f>'Data Sheet'!H68</f>
        <v>10397.16</v>
      </c>
      <c r="I18" s="4">
        <f>'Data Sheet'!I68</f>
        <v>10864.15</v>
      </c>
      <c r="J18" s="4">
        <f>'Data Sheet'!J68</f>
        <v>11771.16</v>
      </c>
      <c r="K18" s="4">
        <f>'Data Sheet'!K68</f>
        <v>14152.88</v>
      </c>
    </row>
    <row r="20" spans="1:11">
      <c r="A20" t="s">
        <v>42</v>
      </c>
      <c r="B20" s="4">
        <f>IF('Profit &amp; Loss'!B4&gt;0,'Balance Sheet'!B17/('Profit &amp; Loss'!B4/365),0)</f>
        <v>18.637523620358525</v>
      </c>
      <c r="C20" s="4">
        <f>IF('Profit &amp; Loss'!C4&gt;0,'Balance Sheet'!C17/('Profit &amp; Loss'!C4/365),0)</f>
        <v>17.854891674597688</v>
      </c>
      <c r="D20" s="4">
        <f>IF('Profit &amp; Loss'!D4&gt;0,'Balance Sheet'!D17/('Profit &amp; Loss'!D4/365),0)</f>
        <v>21.116823249375695</v>
      </c>
      <c r="E20" s="4">
        <f>IF('Profit &amp; Loss'!E4&gt;0,'Balance Sheet'!E17/('Profit &amp; Loss'!E4/365),0)</f>
        <v>22.533020368275956</v>
      </c>
      <c r="F20" s="4">
        <f>IF('Profit &amp; Loss'!F4&gt;0,'Balance Sheet'!F17/('Profit &amp; Loss'!F4/365),0)</f>
        <v>30.469383474163411</v>
      </c>
      <c r="G20" s="4">
        <f>IF('Profit &amp; Loss'!G4&gt;0,'Balance Sheet'!G17/('Profit &amp; Loss'!G4/365),0)</f>
        <v>18.938018980434403</v>
      </c>
      <c r="H20" s="4">
        <f>IF('Profit &amp; Loss'!H4&gt;0,'Balance Sheet'!H17/('Profit &amp; Loss'!H4/365),0)</f>
        <v>18.537713584442557</v>
      </c>
      <c r="I20" s="4">
        <f>IF('Profit &amp; Loss'!I4&gt;0,'Balance Sheet'!I17/('Profit &amp; Loss'!I4/365),0)</f>
        <v>14.817385044061677</v>
      </c>
      <c r="J20" s="4">
        <f>IF('Profit &amp; Loss'!J4&gt;0,'Balance Sheet'!J17/('Profit &amp; Loss'!J4/365),0)</f>
        <v>15.214563002342249</v>
      </c>
      <c r="K20" s="4">
        <f>IF('Profit &amp; Loss'!K4&gt;0,'Balance Sheet'!K17/('Profit &amp; Loss'!K4/365),0)</f>
        <v>20.73518666580495</v>
      </c>
    </row>
    <row r="21" spans="1:11">
      <c r="A21" t="s">
        <v>43</v>
      </c>
      <c r="B21" s="4">
        <f>IF('Balance Sheet'!B18&gt;0,'Profit &amp; Loss'!B4/'Balance Sheet'!B18,0)</f>
        <v>4.5205237764167849</v>
      </c>
      <c r="C21" s="4">
        <f>IF('Balance Sheet'!C18&gt;0,'Profit &amp; Loss'!C4/'Balance Sheet'!C18,0)</f>
        <v>4.3248364065724276</v>
      </c>
      <c r="D21" s="4">
        <f>IF('Balance Sheet'!D18&gt;0,'Profit &amp; Loss'!D4/'Balance Sheet'!D18,0)</f>
        <v>5.2694767191138601</v>
      </c>
      <c r="E21" s="4">
        <f>IF('Balance Sheet'!E18&gt;0,'Profit &amp; Loss'!E4/'Balance Sheet'!E18,0)</f>
        <v>5.7969870942176813</v>
      </c>
      <c r="F21" s="4">
        <f>IF('Balance Sheet'!F18&gt;0,'Profit &amp; Loss'!F4/'Balance Sheet'!F18,0)</f>
        <v>6.1504180895622653</v>
      </c>
      <c r="G21" s="4">
        <f>IF('Balance Sheet'!G18&gt;0,'Profit &amp; Loss'!G4/'Balance Sheet'!G18,0)</f>
        <v>5.5620975906965953</v>
      </c>
      <c r="H21" s="4">
        <f>IF('Balance Sheet'!H18&gt;0,'Profit &amp; Loss'!H4/'Balance Sheet'!H18,0)</f>
        <v>4.7375869949101483</v>
      </c>
      <c r="I21" s="4">
        <f>IF('Balance Sheet'!I18&gt;0,'Profit &amp; Loss'!I4/'Balance Sheet'!I18,0)</f>
        <v>5.5820786715941884</v>
      </c>
      <c r="J21" s="4">
        <f>IF('Balance Sheet'!J18&gt;0,'Profit &amp; Loss'!J4/'Balance Sheet'!J18,0)</f>
        <v>6.0248123379514</v>
      </c>
      <c r="K21" s="4">
        <f>IF('Balance Sheet'!K18&gt;0,'Profit &amp; Loss'!K4/'Balance Sheet'!K18,0)</f>
        <v>5.0071942954366886</v>
      </c>
    </row>
    <row r="23" spans="1:11" s="2" customFormat="1">
      <c r="A23" s="2" t="s">
        <v>44</v>
      </c>
      <c r="B23" s="10">
        <f>IF(SUM('Balance Sheet'!B4:B5)&gt;0,'Profit &amp; Loss'!B12/SUM('Balance Sheet'!B4:B5),"")</f>
        <v>0.30449096579255591</v>
      </c>
      <c r="C23" s="10">
        <f>IF(SUM('Balance Sheet'!C4:C5)&gt;0,'Profit &amp; Loss'!C12/SUM('Balance Sheet'!C4:C5),"")</f>
        <v>0.21894458981731754</v>
      </c>
      <c r="D23" s="10">
        <f>IF(SUM('Balance Sheet'!D4:D5)&gt;0,'Profit &amp; Loss'!D12/SUM('Balance Sheet'!D4:D5),"")</f>
        <v>0.2216933944915781</v>
      </c>
      <c r="E23" s="10">
        <f>IF(SUM('Balance Sheet'!E4:E5)&gt;0,'Profit &amp; Loss'!E12/SUM('Balance Sheet'!E4:E5),"")</f>
        <v>0.21464818870118538</v>
      </c>
      <c r="F23" s="10">
        <f>IF(SUM('Balance Sheet'!F4:F5)&gt;0,'Profit &amp; Loss'!F12/SUM('Balance Sheet'!F4:F5),"")</f>
        <v>0.21292094620860327</v>
      </c>
      <c r="G23" s="10">
        <f>IF(SUM('Balance Sheet'!G4:G5)&gt;0,'Profit &amp; Loss'!G12/SUM('Balance Sheet'!G4:G5),"")</f>
        <v>0.23449464604648212</v>
      </c>
      <c r="H23" s="10">
        <f>IF(SUM('Balance Sheet'!H4:H5)&gt;0,'Profit &amp; Loss'!H12/SUM('Balance Sheet'!H4:H5),"")</f>
        <v>0.21809063995198466</v>
      </c>
      <c r="I23" s="10">
        <f>IF(SUM('Balance Sheet'!I4:I5)&gt;0,'Profit &amp; Loss'!I12/SUM('Balance Sheet'!I4:I5),"")</f>
        <v>0.24405605456807136</v>
      </c>
      <c r="J23" s="10">
        <f>IF(SUM('Balance Sheet'!J4:J5)&gt;0,'Profit &amp; Loss'!J12/SUM('Balance Sheet'!J4:J5),"")</f>
        <v>0.2775155497933201</v>
      </c>
      <c r="K23" s="10">
        <f>IF(SUM('Balance Sheet'!K4:K5)&gt;0,'Profit &amp; Loss'!K12/SUM('Balance Sheet'!K4:K5),"")</f>
        <v>0.27458869636409999</v>
      </c>
    </row>
    <row r="24" spans="1:11" s="2" customFormat="1">
      <c r="A24" s="2" t="s">
        <v>45</v>
      </c>
      <c r="B24" s="10"/>
      <c r="C24" s="10">
        <f>IF((B4+B5+B6+C4+C5+C6)&gt;0,('Profit &amp; Loss'!C10+'Profit &amp; Loss'!C9)*2/(B4+B5+B6+C4+C5+C6),"")</f>
        <v>0.39956350070933139</v>
      </c>
      <c r="D24" s="10">
        <f>IF((C4+C5+C6+D4+D5+D6)&gt;0,('Profit &amp; Loss'!D10+'Profit &amp; Loss'!D9)*2/(C4+C5+C6+D4+D5+D6),"")</f>
        <v>0.36034518411668875</v>
      </c>
      <c r="E24" s="10">
        <f>IF((D4+D5+D6+E4+E5+E6)&gt;0,('Profit &amp; Loss'!E10+'Profit &amp; Loss'!E9)*2/(D4+D5+D6+E4+E5+E6),"")</f>
        <v>0.35400589143866729</v>
      </c>
      <c r="F24" s="10">
        <f>IF((E4+E5+E6+F4+F5+F6)&gt;0,('Profit &amp; Loss'!F10+'Profit &amp; Loss'!F9)*2/(E4+E5+E6+F4+F5+F6),"")</f>
        <v>0.34415687544012852</v>
      </c>
      <c r="G24" s="10">
        <f>IF((F4+F5+F6+G4+G5+G6)&gt;0,('Profit &amp; Loss'!G10+'Profit &amp; Loss'!G9)*2/(F4+F5+F6+G4+G5+G6),"")</f>
        <v>0.32261652337652486</v>
      </c>
      <c r="H24" s="10">
        <f>IF((G4+G5+G6+H4+H5+H6)&gt;0,('Profit &amp; Loss'!H10+'Profit &amp; Loss'!H9)*2/(G4+G5+G6+H4+H5+H6),"")</f>
        <v>0.28527066262298589</v>
      </c>
      <c r="I24" s="10">
        <f>IF((H4+H5+H6+I4+I5+I6)&gt;0,('Profit &amp; Loss'!I10+'Profit &amp; Loss'!I9)*2/(H4+H5+H6+I4+I5+I6),"")</f>
        <v>0.33733252742915004</v>
      </c>
      <c r="J24" s="10">
        <f>IF((I4+I5+I6+J4+J5+J6)&gt;0,('Profit &amp; Loss'!J10+'Profit &amp; Loss'!J9)*2/(I4+I5+I6+J4+J5+J6),"")</f>
        <v>0.39333609298769096</v>
      </c>
      <c r="K24" s="10">
        <f>IF((J4+J5+J6+K4+K5+K6)&gt;0,('Profit &amp; Loss'!K10+'Profit &amp; Loss'!K9)*2/(J4+J5+J6+K4+K5+K6),"")</f>
        <v>0.3773426713604946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bottomRight" activeCell="K24" sqref="K24"/>
      <selection pane="bottomLeft" activeCell="K24" sqref="K24"/>
      <selection pane="topRight" activeCell="K24" sqref="K24"/>
    </sheetView>
  </sheetViews>
  <sheetFormatPr defaultColWidth="8.85546875" defaultRowHeight="14.2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>
      <c r="A1" s="2" t="e">
        <f>'Balance Sheet'!A1</f>
        <v>#REF!</v>
      </c>
      <c r="E1">
        <f>UPDATE</f>
        <v>0</v>
      </c>
      <c r="F1"/>
      <c r="J1" s="2" t="s">
        <v>0</v>
      </c>
    </row>
    <row r="3" spans="1:11" s="2" customFormat="1">
      <c r="A3" s="11" t="s">
        <v>1</v>
      </c>
      <c r="B3" s="12">
        <f>'Data Sheet'!B81</f>
        <v>42094</v>
      </c>
      <c r="C3" s="12">
        <f>'Data Sheet'!C81</f>
        <v>42460</v>
      </c>
      <c r="D3" s="12">
        <f>'Data Sheet'!D81</f>
        <v>42825</v>
      </c>
      <c r="E3" s="12">
        <f>'Data Sheet'!E81</f>
        <v>43190</v>
      </c>
      <c r="F3" s="12">
        <f>'Data Sheet'!F81</f>
        <v>43555</v>
      </c>
      <c r="G3" s="12">
        <f>'Data Sheet'!G81</f>
        <v>43921</v>
      </c>
      <c r="H3" s="12">
        <f>'Data Sheet'!H81</f>
        <v>44286</v>
      </c>
      <c r="I3" s="12">
        <f>'Data Sheet'!I81</f>
        <v>44651</v>
      </c>
      <c r="J3" s="12">
        <f>'Data Sheet'!J81</f>
        <v>45016</v>
      </c>
      <c r="K3" s="12">
        <f>'Data Sheet'!K81</f>
        <v>45382</v>
      </c>
    </row>
    <row r="4" spans="1:11" s="2" customFormat="1">
      <c r="A4" s="2" t="s">
        <v>46</v>
      </c>
      <c r="B4" s="1">
        <f>'Data Sheet'!B82</f>
        <v>9843.2000000000007</v>
      </c>
      <c r="C4" s="1">
        <f>'Data Sheet'!C82</f>
        <v>9799.0400000000009</v>
      </c>
      <c r="D4" s="1">
        <f>'Data Sheet'!D82</f>
        <v>10627.31</v>
      </c>
      <c r="E4" s="1">
        <f>'Data Sheet'!E82</f>
        <v>13169.4</v>
      </c>
      <c r="F4" s="1">
        <f>'Data Sheet'!F82</f>
        <v>12583.41</v>
      </c>
      <c r="G4" s="1">
        <f>'Data Sheet'!G82</f>
        <v>14689.66</v>
      </c>
      <c r="H4" s="1">
        <f>'Data Sheet'!H82</f>
        <v>12526.97</v>
      </c>
      <c r="I4" s="1">
        <f>'Data Sheet'!I82</f>
        <v>15775.51</v>
      </c>
      <c r="J4" s="1">
        <f>'Data Sheet'!J82</f>
        <v>18877.55</v>
      </c>
      <c r="K4" s="1">
        <f>'Data Sheet'!K82</f>
        <v>17178.86</v>
      </c>
    </row>
    <row r="5" spans="1:11">
      <c r="A5" t="s">
        <v>47</v>
      </c>
      <c r="B5" s="6">
        <f>'Data Sheet'!B83</f>
        <v>-5275.43</v>
      </c>
      <c r="C5" s="6">
        <f>'Data Sheet'!C83</f>
        <v>-3920.73</v>
      </c>
      <c r="D5" s="6">
        <f>'Data Sheet'!D83</f>
        <v>-3250.93</v>
      </c>
      <c r="E5" s="6">
        <f>'Data Sheet'!E83</f>
        <v>-7113.89</v>
      </c>
      <c r="F5" s="6">
        <f>'Data Sheet'!F83</f>
        <v>-5545.68</v>
      </c>
      <c r="G5" s="6">
        <f>'Data Sheet'!G83</f>
        <v>-6174.02</v>
      </c>
      <c r="H5" s="6">
        <f>'Data Sheet'!H83</f>
        <v>5739.98</v>
      </c>
      <c r="I5" s="6">
        <f>'Data Sheet'!I83</f>
        <v>-2238.4899999999998</v>
      </c>
      <c r="J5" s="6">
        <f>'Data Sheet'!J83</f>
        <v>-5732.29</v>
      </c>
      <c r="K5" s="6">
        <f>'Data Sheet'!K83</f>
        <v>1562.77</v>
      </c>
    </row>
    <row r="6" spans="1:11">
      <c r="A6" t="s">
        <v>48</v>
      </c>
      <c r="B6" s="6">
        <f>'Data Sheet'!B84</f>
        <v>-4661.03</v>
      </c>
      <c r="C6" s="6">
        <f>'Data Sheet'!C84</f>
        <v>-5612.52</v>
      </c>
      <c r="D6" s="6">
        <f>'Data Sheet'!D84</f>
        <v>-7301.03</v>
      </c>
      <c r="E6" s="6">
        <f>'Data Sheet'!E84</f>
        <v>-6221.13</v>
      </c>
      <c r="F6" s="6">
        <f>'Data Sheet'!F84</f>
        <v>-6868.64</v>
      </c>
      <c r="G6" s="6">
        <f>'Data Sheet'!G84</f>
        <v>-8181.48</v>
      </c>
      <c r="H6" s="6">
        <f>'Data Sheet'!H84</f>
        <v>-18633.830000000002</v>
      </c>
      <c r="I6" s="6">
        <f>'Data Sheet'!I84</f>
        <v>-13580.5</v>
      </c>
      <c r="J6" s="6">
        <f>'Data Sheet'!J84</f>
        <v>-13006.03</v>
      </c>
      <c r="K6" s="6">
        <f>'Data Sheet'!K84</f>
        <v>-18550.96</v>
      </c>
    </row>
    <row r="7" spans="1:11" s="2" customFormat="1">
      <c r="A7" s="2" t="s">
        <v>49</v>
      </c>
      <c r="B7" s="1">
        <f>'Data Sheet'!B85</f>
        <v>-93.26</v>
      </c>
      <c r="C7" s="1">
        <f>'Data Sheet'!C85</f>
        <v>265.79000000000002</v>
      </c>
      <c r="D7" s="1">
        <f>'Data Sheet'!D85</f>
        <v>75.349999999999994</v>
      </c>
      <c r="E7" s="1">
        <f>'Data Sheet'!E85</f>
        <v>-165.62</v>
      </c>
      <c r="F7" s="1">
        <f>'Data Sheet'!F85</f>
        <v>169.09</v>
      </c>
      <c r="G7" s="1">
        <f>'Data Sheet'!G85</f>
        <v>334.16</v>
      </c>
      <c r="H7" s="1">
        <f>'Data Sheet'!H85</f>
        <v>-366.88</v>
      </c>
      <c r="I7" s="1">
        <f>'Data Sheet'!I85</f>
        <v>-43.48</v>
      </c>
      <c r="J7" s="1">
        <f>'Data Sheet'!J85</f>
        <v>139.22999999999999</v>
      </c>
      <c r="K7" s="1">
        <f>'Data Sheet'!K85</f>
        <v>190.67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34" sqref="B34"/>
    </sheetView>
  </sheetViews>
  <sheetFormatPr defaultColWidth="8.85546875" defaultRowHeight="14.25"/>
  <cols>
    <col min="1" max="1" width="8.85546875" style="2"/>
    <col min="2" max="2" width="10.42578125" customWidth="1"/>
    <col min="3" max="3" width="13.28515625" style="20" customWidth="1"/>
    <col min="6" max="6" width="6.85546875" customWidth="1"/>
  </cols>
  <sheetData>
    <row r="1" spans="1:7" ht="21">
      <c r="A1" s="19" t="s">
        <v>50</v>
      </c>
    </row>
    <row r="3" spans="1:7">
      <c r="A3" s="2" t="s">
        <v>51</v>
      </c>
    </row>
    <row r="4" spans="1:7">
      <c r="B4" t="s">
        <v>52</v>
      </c>
    </row>
    <row r="5" spans="1:7">
      <c r="B5" t="s">
        <v>53</v>
      </c>
    </row>
    <row r="7" spans="1:7">
      <c r="A7" s="2" t="s">
        <v>54</v>
      </c>
    </row>
    <row r="8" spans="1:7">
      <c r="B8" t="s">
        <v>55</v>
      </c>
      <c r="C8" s="21" t="s">
        <v>56</v>
      </c>
    </row>
    <row r="10" spans="1:7">
      <c r="A10" s="2" t="s">
        <v>57</v>
      </c>
    </row>
    <row r="11" spans="1:7">
      <c r="B11" t="s">
        <v>58</v>
      </c>
    </row>
    <row r="14" spans="1:7">
      <c r="A14" s="2" t="s">
        <v>59</v>
      </c>
    </row>
    <row r="15" spans="1:7">
      <c r="B15" t="s">
        <v>60</v>
      </c>
    </row>
    <row r="16" spans="1:7">
      <c r="B16" t="s">
        <v>61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2" activePane="bottomRight" state="frozen"/>
      <selection pane="bottomRight" activeCell="E8" sqref="E8"/>
      <selection pane="bottomLeft" activeCell="C4" sqref="C4"/>
      <selection pane="topRight" activeCell="C4" sqref="C4"/>
    </sheetView>
  </sheetViews>
  <sheetFormatPr defaultColWidth="8.85546875" defaultRowHeight="14.2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>
      <c r="A1" s="1" t="s">
        <v>62</v>
      </c>
      <c r="B1" s="40"/>
      <c r="C1" s="40"/>
      <c r="D1" s="40"/>
      <c r="E1" s="40"/>
      <c r="F1" s="40"/>
      <c r="G1" s="40"/>
      <c r="H1" s="40"/>
    </row>
    <row r="2" spans="1:11">
      <c r="A2" s="1" t="s">
        <v>63</v>
      </c>
      <c r="B2" s="41" t="s">
        <v>64</v>
      </c>
      <c r="C2" s="41"/>
      <c r="D2" s="41"/>
      <c r="E2" s="41"/>
      <c r="F2" s="41"/>
      <c r="G2" s="41"/>
      <c r="H2" s="41"/>
    </row>
    <row r="3" spans="1:11">
      <c r="A3" s="1" t="s">
        <v>65</v>
      </c>
    </row>
    <row r="4" spans="1:11">
      <c r="A4" s="1"/>
    </row>
    <row r="5" spans="1:11">
      <c r="A5" s="1" t="s">
        <v>66</v>
      </c>
    </row>
    <row r="6" spans="1:11">
      <c r="A6" s="4" t="s">
        <v>67</v>
      </c>
    </row>
    <row r="7" spans="1:11">
      <c r="A7" s="4" t="s">
        <v>68</v>
      </c>
    </row>
    <row r="8" spans="1:11">
      <c r="A8" s="4" t="s">
        <v>69</v>
      </c>
    </row>
    <row r="9" spans="1:11">
      <c r="A9" s="4" t="s">
        <v>70</v>
      </c>
    </row>
    <row r="15" spans="1:11">
      <c r="A15" s="1" t="s">
        <v>71</v>
      </c>
    </row>
    <row r="16" spans="1:11" s="18" customFormat="1">
      <c r="A16" s="17" t="s">
        <v>72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6" customFormat="1">
      <c r="A17" s="6" t="s">
        <v>5</v>
      </c>
      <c r="B17">
        <v>38817.15</v>
      </c>
      <c r="C17">
        <v>39192.1</v>
      </c>
      <c r="D17">
        <v>42767.6</v>
      </c>
      <c r="E17">
        <v>43448.94</v>
      </c>
      <c r="F17">
        <v>48339.58</v>
      </c>
      <c r="G17">
        <v>49387.7</v>
      </c>
      <c r="H17">
        <v>49257.45</v>
      </c>
      <c r="I17">
        <v>60644.54</v>
      </c>
      <c r="J17">
        <v>70919.03</v>
      </c>
      <c r="K17">
        <v>70866.22</v>
      </c>
    </row>
    <row r="18" spans="1:11" s="6" customFormat="1">
      <c r="A18" s="4" t="s">
        <v>73</v>
      </c>
      <c r="B18">
        <v>15007.9</v>
      </c>
      <c r="C18">
        <v>13763.88</v>
      </c>
      <c r="D18">
        <v>15456.59</v>
      </c>
      <c r="E18">
        <v>14827.72</v>
      </c>
      <c r="F18">
        <v>17623.52</v>
      </c>
      <c r="G18">
        <v>18048.599999999999</v>
      </c>
      <c r="H18">
        <v>20776.71</v>
      </c>
      <c r="I18">
        <v>27071.07</v>
      </c>
      <c r="J18">
        <v>29364.36</v>
      </c>
      <c r="K18">
        <v>27835.9</v>
      </c>
    </row>
    <row r="19" spans="1:11" s="6" customFormat="1">
      <c r="A19" s="4" t="s">
        <v>74</v>
      </c>
      <c r="B19">
        <v>235.72</v>
      </c>
      <c r="C19">
        <v>195.38</v>
      </c>
      <c r="D19">
        <v>-592.57000000000005</v>
      </c>
      <c r="E19">
        <v>-1027.76</v>
      </c>
      <c r="F19">
        <v>203.19</v>
      </c>
      <c r="G19">
        <v>703.13</v>
      </c>
      <c r="H19">
        <v>645.27</v>
      </c>
      <c r="I19">
        <v>686</v>
      </c>
      <c r="J19">
        <v>358.59</v>
      </c>
      <c r="K19">
        <v>588.69000000000005</v>
      </c>
    </row>
    <row r="20" spans="1:11" s="6" customFormat="1">
      <c r="A20" s="4" t="s">
        <v>75</v>
      </c>
      <c r="B20">
        <v>610.66999999999996</v>
      </c>
      <c r="C20">
        <v>571.88</v>
      </c>
      <c r="D20">
        <v>584.33000000000004</v>
      </c>
      <c r="E20">
        <v>653.5</v>
      </c>
      <c r="F20">
        <v>746.73</v>
      </c>
      <c r="G20">
        <v>780.85</v>
      </c>
      <c r="H20">
        <v>699.56</v>
      </c>
      <c r="I20">
        <v>889.77</v>
      </c>
      <c r="J20">
        <v>1232.3399999999999</v>
      </c>
      <c r="K20">
        <v>1120.25</v>
      </c>
    </row>
    <row r="21" spans="1:11" s="6" customFormat="1">
      <c r="A21" s="4" t="s">
        <v>76</v>
      </c>
      <c r="B21">
        <v>1533.25</v>
      </c>
      <c r="C21">
        <v>1581.59</v>
      </c>
      <c r="D21">
        <v>1683.9</v>
      </c>
      <c r="E21">
        <v>1697.62</v>
      </c>
      <c r="F21">
        <v>1871.01</v>
      </c>
      <c r="G21">
        <v>1908.29</v>
      </c>
      <c r="H21">
        <v>1587.18</v>
      </c>
      <c r="I21">
        <v>1887.67</v>
      </c>
      <c r="J21">
        <v>2327.8000000000002</v>
      </c>
      <c r="K21">
        <v>2513.67</v>
      </c>
    </row>
    <row r="22" spans="1:11" s="6" customFormat="1">
      <c r="A22" s="4" t="s">
        <v>77</v>
      </c>
      <c r="B22">
        <v>2772.28</v>
      </c>
      <c r="C22">
        <v>3440.97</v>
      </c>
      <c r="D22">
        <v>3631.73</v>
      </c>
      <c r="E22">
        <v>3760.9</v>
      </c>
      <c r="F22">
        <v>4177.88</v>
      </c>
      <c r="G22">
        <v>4295.79</v>
      </c>
      <c r="H22">
        <v>4463.33</v>
      </c>
      <c r="I22">
        <v>4890.55</v>
      </c>
      <c r="J22">
        <v>5736.22</v>
      </c>
      <c r="K22">
        <v>6134.35</v>
      </c>
    </row>
    <row r="23" spans="1:11" s="6" customFormat="1">
      <c r="A23" s="4" t="s">
        <v>78</v>
      </c>
      <c r="B23">
        <v>3876.19</v>
      </c>
      <c r="C23">
        <v>4261.78</v>
      </c>
      <c r="D23">
        <v>4179.74</v>
      </c>
      <c r="E23">
        <v>3954.87</v>
      </c>
      <c r="F23">
        <v>4546.3900000000003</v>
      </c>
      <c r="G23">
        <v>4488.63</v>
      </c>
      <c r="H23">
        <v>4236.7700000000004</v>
      </c>
      <c r="I23">
        <v>4858.38</v>
      </c>
      <c r="J23">
        <v>5604.08</v>
      </c>
      <c r="K23">
        <v>6178.63</v>
      </c>
    </row>
    <row r="24" spans="1:11" s="6" customFormat="1">
      <c r="A24" s="4" t="s">
        <v>79</v>
      </c>
      <c r="B24">
        <v>1000.96</v>
      </c>
      <c r="C24">
        <v>1235.8900000000001</v>
      </c>
      <c r="D24">
        <v>1169.23</v>
      </c>
      <c r="E24">
        <v>1005.98</v>
      </c>
      <c r="F24">
        <v>1039.8499999999999</v>
      </c>
      <c r="G24">
        <v>1225.1300000000001</v>
      </c>
      <c r="H24">
        <v>1074.3900000000001</v>
      </c>
      <c r="I24">
        <v>1109.95</v>
      </c>
      <c r="J24">
        <v>1308.56</v>
      </c>
      <c r="K24">
        <v>1439.55</v>
      </c>
    </row>
    <row r="25" spans="1:11" s="6" customFormat="1">
      <c r="A25" s="6" t="s">
        <v>8</v>
      </c>
      <c r="B25">
        <v>1229.3499999999999</v>
      </c>
      <c r="C25">
        <v>1483.11</v>
      </c>
      <c r="D25">
        <v>1758.63</v>
      </c>
      <c r="E25">
        <v>2239.81</v>
      </c>
      <c r="F25">
        <v>2080.44</v>
      </c>
      <c r="G25">
        <v>2417.3200000000002</v>
      </c>
      <c r="H25">
        <v>2576.9499999999998</v>
      </c>
      <c r="I25">
        <v>1909.72</v>
      </c>
      <c r="J25">
        <v>2097.64</v>
      </c>
      <c r="K25">
        <v>2803.77</v>
      </c>
    </row>
    <row r="26" spans="1:11" s="6" customFormat="1">
      <c r="A26" s="6" t="s">
        <v>9</v>
      </c>
      <c r="B26">
        <v>1027.96</v>
      </c>
      <c r="C26">
        <v>1077.4000000000001</v>
      </c>
      <c r="D26">
        <v>1152.79</v>
      </c>
      <c r="E26">
        <v>1236.28</v>
      </c>
      <c r="F26">
        <v>1396.61</v>
      </c>
      <c r="G26">
        <v>1644.91</v>
      </c>
      <c r="H26">
        <v>1645.59</v>
      </c>
      <c r="I26">
        <v>1732.41</v>
      </c>
      <c r="J26">
        <v>1809.01</v>
      </c>
      <c r="K26">
        <v>1816.39</v>
      </c>
    </row>
    <row r="27" spans="1:11" s="6" customFormat="1">
      <c r="A27" s="6" t="s">
        <v>10</v>
      </c>
      <c r="B27">
        <v>90.96</v>
      </c>
      <c r="C27">
        <v>78.13</v>
      </c>
      <c r="D27">
        <v>49.03</v>
      </c>
      <c r="E27">
        <v>115.01</v>
      </c>
      <c r="F27">
        <v>71.400000000000006</v>
      </c>
      <c r="G27">
        <v>81.38</v>
      </c>
      <c r="H27">
        <v>57.97</v>
      </c>
      <c r="I27">
        <v>59.99</v>
      </c>
      <c r="J27">
        <v>77.77</v>
      </c>
      <c r="K27">
        <v>80.06</v>
      </c>
    </row>
    <row r="28" spans="1:11" s="6" customFormat="1">
      <c r="A28" s="6" t="s">
        <v>11</v>
      </c>
      <c r="B28">
        <v>14362.05</v>
      </c>
      <c r="C28">
        <v>14859.07</v>
      </c>
      <c r="D28">
        <v>16026.32</v>
      </c>
      <c r="E28">
        <v>17409.11</v>
      </c>
      <c r="F28">
        <v>19149.82</v>
      </c>
      <c r="G28">
        <v>20034.57</v>
      </c>
      <c r="H28">
        <v>17938.169999999998</v>
      </c>
      <c r="I28">
        <v>20740.47</v>
      </c>
      <c r="J28">
        <v>25915.119999999999</v>
      </c>
      <c r="K28">
        <v>27139.88</v>
      </c>
    </row>
    <row r="29" spans="1:11" s="6" customFormat="1">
      <c r="A29" s="6" t="s">
        <v>12</v>
      </c>
      <c r="B29">
        <v>4596.42</v>
      </c>
      <c r="C29">
        <v>5358.21</v>
      </c>
      <c r="D29">
        <v>5549.09</v>
      </c>
      <c r="E29">
        <v>5916.43</v>
      </c>
      <c r="F29">
        <v>6313.92</v>
      </c>
      <c r="G29">
        <v>4441.79</v>
      </c>
      <c r="H29">
        <v>4555.29</v>
      </c>
      <c r="I29">
        <v>5237.34</v>
      </c>
      <c r="J29">
        <v>6438.4</v>
      </c>
      <c r="K29">
        <v>6388.52</v>
      </c>
    </row>
    <row r="30" spans="1:11" s="6" customFormat="1">
      <c r="A30" s="6" t="s">
        <v>13</v>
      </c>
      <c r="B30">
        <v>9663.17</v>
      </c>
      <c r="C30">
        <v>9344.4500000000007</v>
      </c>
      <c r="D30">
        <v>10289.44</v>
      </c>
      <c r="E30">
        <v>11271.2</v>
      </c>
      <c r="F30">
        <v>12592.33</v>
      </c>
      <c r="G30">
        <v>15306.23</v>
      </c>
      <c r="H30">
        <v>13161.19</v>
      </c>
      <c r="I30">
        <v>15242.66</v>
      </c>
      <c r="J30">
        <v>19191.66</v>
      </c>
      <c r="K30">
        <v>20458.78</v>
      </c>
    </row>
    <row r="31" spans="1:11" s="6" customFormat="1">
      <c r="A31" s="6" t="s">
        <v>80</v>
      </c>
      <c r="B31">
        <v>5009.6899999999996</v>
      </c>
      <c r="C31">
        <v>6840.12</v>
      </c>
      <c r="D31">
        <v>5770.02</v>
      </c>
      <c r="E31">
        <v>6285.21</v>
      </c>
      <c r="F31">
        <v>7048.7</v>
      </c>
      <c r="G31">
        <v>12476.58</v>
      </c>
      <c r="H31">
        <v>13231.96</v>
      </c>
      <c r="I31">
        <v>14171.8</v>
      </c>
      <c r="J31">
        <v>19263.400000000001</v>
      </c>
      <c r="K31">
        <v>17166.46</v>
      </c>
    </row>
    <row r="32" spans="1:11" s="6" customFormat="1"/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81</v>
      </c>
    </row>
    <row r="41" spans="1:11" s="18" customFormat="1">
      <c r="A41" s="17" t="s">
        <v>72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>
      <c r="A42" s="6" t="s">
        <v>5</v>
      </c>
      <c r="B42">
        <v>16555.53</v>
      </c>
      <c r="C42">
        <v>18489.45</v>
      </c>
      <c r="D42">
        <v>17107.990000000002</v>
      </c>
      <c r="E42">
        <v>17704.52</v>
      </c>
      <c r="F42">
        <v>17634.89</v>
      </c>
      <c r="G42">
        <v>17164.46</v>
      </c>
      <c r="H42">
        <v>17774.47</v>
      </c>
      <c r="I42">
        <v>18019.37</v>
      </c>
      <c r="J42">
        <v>17922.7</v>
      </c>
      <c r="K42">
        <v>18457.330000000002</v>
      </c>
    </row>
    <row r="43" spans="1:11" s="6" customFormat="1">
      <c r="A43" s="6" t="s">
        <v>6</v>
      </c>
      <c r="B43">
        <v>10956.13</v>
      </c>
      <c r="C43">
        <v>12412.32</v>
      </c>
      <c r="D43">
        <v>10848.89</v>
      </c>
      <c r="E43">
        <v>10999.82</v>
      </c>
      <c r="F43">
        <v>11010.89</v>
      </c>
      <c r="G43">
        <v>10494.39</v>
      </c>
      <c r="H43">
        <v>11320.23</v>
      </c>
      <c r="I43">
        <v>11515.55</v>
      </c>
      <c r="J43">
        <v>11296.48</v>
      </c>
      <c r="K43">
        <v>11708.92</v>
      </c>
    </row>
    <row r="44" spans="1:11" s="6" customFormat="1">
      <c r="A44" s="6" t="s">
        <v>8</v>
      </c>
      <c r="B44">
        <v>498.62</v>
      </c>
      <c r="C44">
        <v>320.73</v>
      </c>
      <c r="D44">
        <v>454.68</v>
      </c>
      <c r="E44">
        <v>595.42999999999995</v>
      </c>
      <c r="F44">
        <v>682.52</v>
      </c>
      <c r="G44">
        <v>722.3</v>
      </c>
      <c r="H44">
        <v>664.88</v>
      </c>
      <c r="I44">
        <v>651.30999999999995</v>
      </c>
      <c r="J44">
        <v>681.78</v>
      </c>
      <c r="K44">
        <v>691.84</v>
      </c>
    </row>
    <row r="45" spans="1:11" s="6" customFormat="1">
      <c r="A45" s="6" t="s">
        <v>9</v>
      </c>
      <c r="B45">
        <v>466.96</v>
      </c>
      <c r="C45">
        <v>438.12</v>
      </c>
      <c r="D45">
        <v>462.38</v>
      </c>
      <c r="E45">
        <v>447.11</v>
      </c>
      <c r="F45">
        <v>461.4</v>
      </c>
      <c r="G45">
        <v>442.46</v>
      </c>
      <c r="H45">
        <v>453.04</v>
      </c>
      <c r="I45">
        <v>459.45</v>
      </c>
      <c r="J45">
        <v>461.44</v>
      </c>
      <c r="K45">
        <v>498.57</v>
      </c>
    </row>
    <row r="46" spans="1:11" s="6" customFormat="1">
      <c r="A46" s="6" t="s">
        <v>10</v>
      </c>
      <c r="B46">
        <v>10.71</v>
      </c>
      <c r="C46">
        <v>9.25</v>
      </c>
      <c r="D46">
        <v>12.59</v>
      </c>
      <c r="E46">
        <v>9.2100000000000009</v>
      </c>
      <c r="F46">
        <v>12.15</v>
      </c>
      <c r="G46">
        <v>9.9</v>
      </c>
      <c r="H46">
        <v>9.8699999999999992</v>
      </c>
      <c r="I46">
        <v>13.6</v>
      </c>
      <c r="J46">
        <v>12.59</v>
      </c>
      <c r="K46">
        <v>11.25</v>
      </c>
    </row>
    <row r="47" spans="1:11" s="6" customFormat="1">
      <c r="A47" s="6" t="s">
        <v>11</v>
      </c>
      <c r="B47">
        <v>5620.35</v>
      </c>
      <c r="C47">
        <v>5950.49</v>
      </c>
      <c r="D47">
        <v>6238.81</v>
      </c>
      <c r="E47">
        <v>6843.81</v>
      </c>
      <c r="F47">
        <v>6832.97</v>
      </c>
      <c r="G47">
        <v>6940.01</v>
      </c>
      <c r="H47">
        <v>6656.21</v>
      </c>
      <c r="I47">
        <v>6682.08</v>
      </c>
      <c r="J47">
        <v>6833.97</v>
      </c>
      <c r="K47">
        <v>6930.43</v>
      </c>
    </row>
    <row r="48" spans="1:11" s="6" customFormat="1">
      <c r="A48" s="6" t="s">
        <v>12</v>
      </c>
      <c r="B48">
        <v>1360.67</v>
      </c>
      <c r="C48">
        <v>1488.24</v>
      </c>
      <c r="D48">
        <v>1568.49</v>
      </c>
      <c r="E48">
        <v>1773.72</v>
      </c>
      <c r="F48">
        <v>1607.95</v>
      </c>
      <c r="G48">
        <v>1759.89</v>
      </c>
      <c r="H48">
        <v>1700.31</v>
      </c>
      <c r="I48">
        <v>1281.57</v>
      </c>
      <c r="J48">
        <v>1646.75</v>
      </c>
      <c r="K48">
        <v>1761.06</v>
      </c>
    </row>
    <row r="49" spans="1:11" s="6" customFormat="1">
      <c r="A49" s="6" t="s">
        <v>13</v>
      </c>
      <c r="B49">
        <v>4195.6899999999996</v>
      </c>
      <c r="C49">
        <v>4389.76</v>
      </c>
      <c r="D49">
        <v>4619.7700000000004</v>
      </c>
      <c r="E49">
        <v>5006.6499999999996</v>
      </c>
      <c r="F49">
        <v>5175.4799999999996</v>
      </c>
      <c r="G49">
        <v>5104.93</v>
      </c>
      <c r="H49">
        <v>4898.07</v>
      </c>
      <c r="I49">
        <v>5335.23</v>
      </c>
      <c r="J49">
        <v>5120.55</v>
      </c>
      <c r="K49">
        <v>5091.59</v>
      </c>
    </row>
    <row r="50" spans="1:11">
      <c r="A50" s="6" t="s">
        <v>7</v>
      </c>
      <c r="B50">
        <v>5599.4</v>
      </c>
      <c r="C50">
        <v>6077.13</v>
      </c>
      <c r="D50">
        <v>6259.1</v>
      </c>
      <c r="E50">
        <v>6704.7</v>
      </c>
      <c r="F50">
        <v>6624</v>
      </c>
      <c r="G50">
        <v>6670.07</v>
      </c>
      <c r="H50">
        <v>6454.24</v>
      </c>
      <c r="I50">
        <v>6503.82</v>
      </c>
      <c r="J50">
        <v>6626.22</v>
      </c>
      <c r="K50">
        <v>6748.41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82</v>
      </c>
    </row>
    <row r="56" spans="1:11" s="18" customFormat="1">
      <c r="A56" s="17" t="s">
        <v>72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>
      <c r="A57" s="6" t="s">
        <v>30</v>
      </c>
      <c r="B57">
        <v>801.55</v>
      </c>
      <c r="C57">
        <v>804.72</v>
      </c>
      <c r="D57">
        <v>1214.74</v>
      </c>
      <c r="E57">
        <v>1220.43</v>
      </c>
      <c r="F57">
        <v>1225.8599999999999</v>
      </c>
      <c r="G57">
        <v>1229.22</v>
      </c>
      <c r="H57">
        <v>1230.8800000000001</v>
      </c>
      <c r="I57">
        <v>1232.33</v>
      </c>
      <c r="J57">
        <v>1242.8</v>
      </c>
      <c r="K57">
        <v>1248.47</v>
      </c>
    </row>
    <row r="58" spans="1:11">
      <c r="A58" s="6" t="s">
        <v>31</v>
      </c>
      <c r="B58">
        <v>30933.94</v>
      </c>
      <c r="C58">
        <v>41874.800000000003</v>
      </c>
      <c r="D58">
        <v>45198.19</v>
      </c>
      <c r="E58">
        <v>51289.68</v>
      </c>
      <c r="F58">
        <v>57915.01</v>
      </c>
      <c r="G58">
        <v>64044.04</v>
      </c>
      <c r="H58">
        <v>59116.46</v>
      </c>
      <c r="I58">
        <v>61223.24</v>
      </c>
      <c r="J58">
        <v>67912.460000000006</v>
      </c>
      <c r="K58">
        <v>73258.53</v>
      </c>
    </row>
    <row r="59" spans="1:11">
      <c r="A59" s="6" t="s">
        <v>32</v>
      </c>
      <c r="B59">
        <v>268.8</v>
      </c>
      <c r="C59">
        <v>83.78</v>
      </c>
      <c r="D59">
        <v>45.72</v>
      </c>
      <c r="E59">
        <v>35.92</v>
      </c>
      <c r="F59">
        <v>13.44</v>
      </c>
      <c r="G59">
        <v>277.45</v>
      </c>
      <c r="H59">
        <v>270.83</v>
      </c>
      <c r="I59">
        <v>249.44</v>
      </c>
      <c r="J59">
        <v>306.04000000000002</v>
      </c>
      <c r="K59">
        <v>303.43</v>
      </c>
    </row>
    <row r="60" spans="1:11">
      <c r="A60" s="6" t="s">
        <v>33</v>
      </c>
      <c r="B60">
        <v>13947.93</v>
      </c>
      <c r="C60">
        <v>8888.0400000000009</v>
      </c>
      <c r="D60">
        <v>9439.67</v>
      </c>
      <c r="E60">
        <v>11694.85</v>
      </c>
      <c r="F60">
        <v>12584.73</v>
      </c>
      <c r="G60">
        <v>11760.04</v>
      </c>
      <c r="H60">
        <v>13142.59</v>
      </c>
      <c r="I60">
        <v>14491.01</v>
      </c>
      <c r="J60">
        <v>16369.66</v>
      </c>
      <c r="K60">
        <v>16943.54</v>
      </c>
    </row>
    <row r="61" spans="1:11" s="1" customFormat="1">
      <c r="A61" s="1" t="s">
        <v>34</v>
      </c>
      <c r="B61">
        <v>45952.22</v>
      </c>
      <c r="C61">
        <v>51651.34</v>
      </c>
      <c r="D61">
        <v>55898.32</v>
      </c>
      <c r="E61">
        <v>64240.88</v>
      </c>
      <c r="F61">
        <v>71739.039999999994</v>
      </c>
      <c r="G61">
        <v>77310.75</v>
      </c>
      <c r="H61">
        <v>73760.759999999995</v>
      </c>
      <c r="I61">
        <v>77196.02</v>
      </c>
      <c r="J61">
        <v>85830.96</v>
      </c>
      <c r="K61">
        <v>91753.97</v>
      </c>
    </row>
    <row r="62" spans="1:11">
      <c r="A62" s="6" t="s">
        <v>35</v>
      </c>
      <c r="B62">
        <v>15303.28</v>
      </c>
      <c r="C62">
        <v>15106.63</v>
      </c>
      <c r="D62">
        <v>15893.48</v>
      </c>
      <c r="E62">
        <v>16523.96</v>
      </c>
      <c r="F62">
        <v>19374.189999999999</v>
      </c>
      <c r="G62">
        <v>21713.34</v>
      </c>
      <c r="H62">
        <v>23298.48</v>
      </c>
      <c r="I62">
        <v>24231.59</v>
      </c>
      <c r="J62">
        <v>25851.27</v>
      </c>
      <c r="K62">
        <v>27820.22</v>
      </c>
    </row>
    <row r="63" spans="1:11">
      <c r="A63" s="6" t="s">
        <v>36</v>
      </c>
      <c r="B63">
        <v>2700.2</v>
      </c>
      <c r="C63">
        <v>2559.7199999999998</v>
      </c>
      <c r="D63">
        <v>3729.89</v>
      </c>
      <c r="E63">
        <v>5508.33</v>
      </c>
      <c r="F63">
        <v>4136.42</v>
      </c>
      <c r="G63">
        <v>3256.46</v>
      </c>
      <c r="H63">
        <v>4011.29</v>
      </c>
      <c r="I63">
        <v>3225.54</v>
      </c>
      <c r="J63">
        <v>3003.3</v>
      </c>
      <c r="K63">
        <v>2860.78</v>
      </c>
    </row>
    <row r="64" spans="1:11">
      <c r="A64" s="6" t="s">
        <v>37</v>
      </c>
      <c r="B64">
        <v>6942.77</v>
      </c>
      <c r="C64">
        <v>11747.59</v>
      </c>
      <c r="D64">
        <v>17581.38</v>
      </c>
      <c r="E64">
        <v>22052.86</v>
      </c>
      <c r="F64">
        <v>25043.49</v>
      </c>
      <c r="G64">
        <v>28663.35</v>
      </c>
      <c r="H64">
        <v>24870.87</v>
      </c>
      <c r="I64">
        <v>24841.01</v>
      </c>
      <c r="J64">
        <v>29415.02</v>
      </c>
      <c r="K64">
        <v>31114.02</v>
      </c>
    </row>
    <row r="65" spans="1:11">
      <c r="A65" s="6" t="s">
        <v>38</v>
      </c>
      <c r="B65">
        <v>21005.97</v>
      </c>
      <c r="C65">
        <v>22237.4</v>
      </c>
      <c r="D65">
        <v>18693.57</v>
      </c>
      <c r="E65">
        <v>20155.73</v>
      </c>
      <c r="F65">
        <v>23184.94</v>
      </c>
      <c r="G65">
        <v>23677.599999999999</v>
      </c>
      <c r="H65">
        <v>21580.12</v>
      </c>
      <c r="I65">
        <v>24897.88</v>
      </c>
      <c r="J65">
        <v>27561.37</v>
      </c>
      <c r="K65">
        <v>29958.95</v>
      </c>
    </row>
    <row r="66" spans="1:11" s="1" customFormat="1">
      <c r="A66" s="1" t="s">
        <v>34</v>
      </c>
      <c r="B66">
        <v>45952.22</v>
      </c>
      <c r="C66">
        <v>51651.34</v>
      </c>
      <c r="D66">
        <v>55898.32</v>
      </c>
      <c r="E66">
        <v>64240.88</v>
      </c>
      <c r="F66">
        <v>71739.039999999994</v>
      </c>
      <c r="G66">
        <v>77310.75</v>
      </c>
      <c r="H66">
        <v>73760.759999999995</v>
      </c>
      <c r="I66">
        <v>77196.02</v>
      </c>
      <c r="J66">
        <v>85830.96</v>
      </c>
      <c r="K66">
        <v>91753.97</v>
      </c>
    </row>
    <row r="67" spans="1:11" s="6" customFormat="1">
      <c r="A67" s="6" t="s">
        <v>83</v>
      </c>
      <c r="B67">
        <v>1982.07</v>
      </c>
      <c r="C67">
        <v>1917.18</v>
      </c>
      <c r="D67">
        <v>2474.29</v>
      </c>
      <c r="E67">
        <v>2682.29</v>
      </c>
      <c r="F67">
        <v>4035.28</v>
      </c>
      <c r="G67">
        <v>2562.48</v>
      </c>
      <c r="H67">
        <v>2501.6999999999998</v>
      </c>
      <c r="I67">
        <v>2461.9</v>
      </c>
      <c r="J67">
        <v>2956.17</v>
      </c>
      <c r="K67">
        <v>4025.82</v>
      </c>
    </row>
    <row r="68" spans="1:11">
      <c r="A68" s="6" t="s">
        <v>41</v>
      </c>
      <c r="B68">
        <v>8586.8700000000008</v>
      </c>
      <c r="C68">
        <v>9062.1</v>
      </c>
      <c r="D68">
        <v>8116.1</v>
      </c>
      <c r="E68">
        <v>7495.09</v>
      </c>
      <c r="F68">
        <v>7859.56</v>
      </c>
      <c r="G68">
        <v>8879.33</v>
      </c>
      <c r="H68">
        <v>10397.16</v>
      </c>
      <c r="I68">
        <v>10864.15</v>
      </c>
      <c r="J68">
        <v>11771.16</v>
      </c>
      <c r="K68">
        <v>14152.88</v>
      </c>
    </row>
    <row r="69" spans="1:11">
      <c r="A69" s="4" t="s">
        <v>84</v>
      </c>
      <c r="B69">
        <v>7896.22</v>
      </c>
      <c r="C69">
        <v>6063.3</v>
      </c>
      <c r="D69">
        <v>2967.4</v>
      </c>
      <c r="E69">
        <v>2899.6</v>
      </c>
      <c r="F69">
        <v>4152.03</v>
      </c>
      <c r="G69">
        <v>7277.34</v>
      </c>
      <c r="H69">
        <v>4659.0200000000004</v>
      </c>
      <c r="I69">
        <v>4654.42</v>
      </c>
      <c r="J69">
        <v>4880.1899999999996</v>
      </c>
      <c r="K69">
        <v>7217.68</v>
      </c>
    </row>
    <row r="70" spans="1:11">
      <c r="A70" s="4" t="s">
        <v>85</v>
      </c>
      <c r="B70">
        <v>8015519541</v>
      </c>
      <c r="C70">
        <v>8047206991</v>
      </c>
      <c r="D70">
        <v>12147383071</v>
      </c>
      <c r="E70">
        <v>12204294911</v>
      </c>
      <c r="F70">
        <v>12258631601</v>
      </c>
      <c r="G70">
        <v>12292231241</v>
      </c>
      <c r="H70">
        <v>12308844231</v>
      </c>
      <c r="I70">
        <v>12323255931</v>
      </c>
      <c r="J70">
        <v>12428017741</v>
      </c>
      <c r="K70">
        <v>12484700000</v>
      </c>
    </row>
    <row r="71" spans="1:11">
      <c r="A71" s="4" t="s">
        <v>86</v>
      </c>
      <c r="D71">
        <v>4026657100</v>
      </c>
    </row>
    <row r="72" spans="1:11">
      <c r="A72" s="4" t="s">
        <v>87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88</v>
      </c>
    </row>
    <row r="81" spans="1:11" s="18" customFormat="1">
      <c r="A81" s="17" t="s">
        <v>72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s="1" customFormat="1">
      <c r="A82" s="6" t="s">
        <v>46</v>
      </c>
      <c r="B82">
        <v>9843.2000000000007</v>
      </c>
      <c r="C82">
        <v>9799.0400000000009</v>
      </c>
      <c r="D82">
        <v>10627.31</v>
      </c>
      <c r="E82">
        <v>13169.4</v>
      </c>
      <c r="F82">
        <v>12583.41</v>
      </c>
      <c r="G82">
        <v>14689.66</v>
      </c>
      <c r="H82">
        <v>12526.97</v>
      </c>
      <c r="I82">
        <v>15775.51</v>
      </c>
      <c r="J82">
        <v>18877.55</v>
      </c>
      <c r="K82">
        <v>17178.86</v>
      </c>
    </row>
    <row r="83" spans="1:11" s="6" customFormat="1">
      <c r="A83" s="6" t="s">
        <v>47</v>
      </c>
      <c r="B83">
        <v>-5275.43</v>
      </c>
      <c r="C83">
        <v>-3920.73</v>
      </c>
      <c r="D83">
        <v>-3250.93</v>
      </c>
      <c r="E83">
        <v>-7113.89</v>
      </c>
      <c r="F83">
        <v>-5545.68</v>
      </c>
      <c r="G83">
        <v>-6174.02</v>
      </c>
      <c r="H83">
        <v>5739.98</v>
      </c>
      <c r="I83">
        <v>-2238.4899999999998</v>
      </c>
      <c r="J83">
        <v>-5732.29</v>
      </c>
      <c r="K83">
        <v>1562.77</v>
      </c>
    </row>
    <row r="84" spans="1:11" s="6" customFormat="1">
      <c r="A84" s="6" t="s">
        <v>48</v>
      </c>
      <c r="B84">
        <v>-4661.03</v>
      </c>
      <c r="C84">
        <v>-5612.52</v>
      </c>
      <c r="D84">
        <v>-7301.03</v>
      </c>
      <c r="E84">
        <v>-6221.13</v>
      </c>
      <c r="F84">
        <v>-6868.64</v>
      </c>
      <c r="G84">
        <v>-8181.48</v>
      </c>
      <c r="H84">
        <v>-18633.830000000002</v>
      </c>
      <c r="I84">
        <v>-13580.5</v>
      </c>
      <c r="J84">
        <v>-13006.03</v>
      </c>
      <c r="K84">
        <v>-18550.96</v>
      </c>
    </row>
    <row r="85" spans="1:11" s="1" customFormat="1">
      <c r="A85" s="6" t="s">
        <v>49</v>
      </c>
      <c r="B85">
        <v>-93.26</v>
      </c>
      <c r="C85">
        <v>265.79000000000002</v>
      </c>
      <c r="D85">
        <v>75.349999999999994</v>
      </c>
      <c r="E85">
        <v>-165.62</v>
      </c>
      <c r="F85">
        <v>169.09</v>
      </c>
      <c r="G85">
        <v>334.16</v>
      </c>
      <c r="H85">
        <v>-366.88</v>
      </c>
      <c r="I85">
        <v>-43.48</v>
      </c>
      <c r="J85">
        <v>139.22999999999999</v>
      </c>
      <c r="K85">
        <v>190.67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89</v>
      </c>
      <c r="B90">
        <v>217.23</v>
      </c>
      <c r="C90">
        <v>218.83</v>
      </c>
      <c r="D90">
        <v>280.3</v>
      </c>
      <c r="E90">
        <v>255.5</v>
      </c>
      <c r="F90">
        <v>297.25</v>
      </c>
      <c r="G90">
        <v>171.7</v>
      </c>
      <c r="H90">
        <v>218.5</v>
      </c>
      <c r="I90">
        <v>250.65</v>
      </c>
      <c r="J90">
        <v>383.5</v>
      </c>
      <c r="K90">
        <v>428.35</v>
      </c>
    </row>
    <row r="92" spans="1:11" s="1" customFormat="1">
      <c r="A92" s="1" t="s">
        <v>90</v>
      </c>
    </row>
    <row r="93" spans="1:11">
      <c r="A93" s="4" t="s">
        <v>91</v>
      </c>
      <c r="B93" s="24">
        <v>1202.33</v>
      </c>
      <c r="C93" s="24">
        <v>1207.08</v>
      </c>
      <c r="D93" s="24">
        <v>1214.74</v>
      </c>
      <c r="E93" s="24">
        <v>1220.43</v>
      </c>
      <c r="F93" s="24">
        <v>1225.8599999999999</v>
      </c>
      <c r="G93" s="24">
        <v>1229.22</v>
      </c>
      <c r="H93" s="24">
        <v>1230.8800000000001</v>
      </c>
      <c r="I93" s="24">
        <v>1232.33</v>
      </c>
      <c r="J93" s="24">
        <v>1242.8</v>
      </c>
      <c r="K93" s="24">
        <v>1248.47</v>
      </c>
    </row>
  </sheetData>
  <mergeCells count="2">
    <mergeCell ref="B1:H1"/>
    <mergeCell ref="B2:H2"/>
  </mergeCells>
  <conditionalFormatting sqref="B1:H1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8FC1-C071-4234-B8FF-F9D392CDD20C}">
  <dimension ref="A2:P104"/>
  <sheetViews>
    <sheetView showGridLines="0" tabSelected="1" topLeftCell="A88" zoomScale="145" zoomScaleNormal="145" workbookViewId="0">
      <selection activeCell="G105" sqref="G105"/>
    </sheetView>
  </sheetViews>
  <sheetFormatPr defaultColWidth="9" defaultRowHeight="14.25" outlineLevelRow="1"/>
  <cols>
    <col min="1" max="1" width="1.7109375" style="29" customWidth="1"/>
    <col min="2" max="2" width="25.42578125" style="29" bestFit="1" customWidth="1"/>
    <col min="3" max="3" width="10.42578125" style="29" bestFit="1" customWidth="1"/>
    <col min="4" max="6" width="12" style="29" bestFit="1" customWidth="1"/>
    <col min="7" max="7" width="11.5703125" style="29" customWidth="1"/>
    <col min="8" max="9" width="12" style="29" bestFit="1" customWidth="1"/>
    <col min="10" max="10" width="12.28515625" style="29" bestFit="1" customWidth="1"/>
    <col min="11" max="16384" width="9" style="29"/>
  </cols>
  <sheetData>
    <row r="2" spans="1:16">
      <c r="B2" s="42" t="str">
        <f>"Historical Financial Statements - "&amp;UPDATE</f>
        <v xml:space="preserve">Historical Financial Statements - </v>
      </c>
      <c r="C2" s="42"/>
      <c r="D2" s="42"/>
      <c r="E2" s="42"/>
      <c r="F2" s="42"/>
      <c r="G2" s="42"/>
      <c r="H2" s="42"/>
      <c r="I2" s="42"/>
      <c r="J2" s="42"/>
    </row>
    <row r="3" spans="1:16">
      <c r="B3" s="30" t="s">
        <v>92</v>
      </c>
      <c r="C3" s="25">
        <f>'Data Sheet'!E16</f>
        <v>43190</v>
      </c>
      <c r="D3" s="25">
        <f>'Data Sheet'!F16</f>
        <v>43555</v>
      </c>
      <c r="E3" s="25">
        <f>'Data Sheet'!G16</f>
        <v>43921</v>
      </c>
      <c r="F3" s="25">
        <f>'Data Sheet'!H16</f>
        <v>44286</v>
      </c>
      <c r="G3" s="25">
        <f>'Data Sheet'!I16</f>
        <v>44651</v>
      </c>
      <c r="H3" s="25">
        <f>'Data Sheet'!J16</f>
        <v>45016</v>
      </c>
      <c r="I3" s="25">
        <f>'Data Sheet'!K16</f>
        <v>45382</v>
      </c>
      <c r="J3" s="30" t="s">
        <v>93</v>
      </c>
    </row>
    <row r="4" spans="1:16">
      <c r="A4" s="29" t="s">
        <v>94</v>
      </c>
      <c r="B4" s="30" t="s">
        <v>95</v>
      </c>
      <c r="C4" s="30"/>
      <c r="D4" s="30"/>
      <c r="E4" s="30"/>
      <c r="F4" s="30"/>
      <c r="G4" s="30"/>
      <c r="H4" s="30"/>
      <c r="I4" s="30"/>
      <c r="J4" s="30"/>
    </row>
    <row r="5" spans="1:16" outlineLevel="1">
      <c r="B5" s="29" t="s">
        <v>5</v>
      </c>
      <c r="C5" s="26">
        <f>IFERROR('Data Sheet'!E17,0)</f>
        <v>43448.94</v>
      </c>
      <c r="D5" s="26">
        <f>IFERROR('Data Sheet'!F17,0)</f>
        <v>48339.58</v>
      </c>
      <c r="E5" s="26">
        <f>IFERROR('Data Sheet'!G17,0)</f>
        <v>49387.7</v>
      </c>
      <c r="F5" s="26">
        <f>IFERROR('Data Sheet'!H17,0)</f>
        <v>49257.45</v>
      </c>
      <c r="G5" s="26">
        <f>IFERROR('Data Sheet'!I17,0)</f>
        <v>60644.54</v>
      </c>
      <c r="H5" s="26">
        <f>IFERROR('Data Sheet'!J17,0)</f>
        <v>70919.03</v>
      </c>
      <c r="I5" s="26">
        <f>IFERROR('Data Sheet'!K17,0)</f>
        <v>70866.22</v>
      </c>
      <c r="J5" s="26">
        <f>IFERROR(SUM('Data Sheet'!K42:K42),0)</f>
        <v>18457.330000000002</v>
      </c>
    </row>
    <row r="6" spans="1:16" outlineLevel="1">
      <c r="B6" s="31" t="s">
        <v>28</v>
      </c>
      <c r="C6" s="31"/>
      <c r="D6" s="32">
        <f>D5/C5 - 1</f>
        <v>0.11256062863673999</v>
      </c>
      <c r="E6" s="32">
        <f t="shared" ref="E6:J6" si="0">E5/D5 - 1</f>
        <v>2.1682439110972673E-2</v>
      </c>
      <c r="F6" s="32">
        <f t="shared" si="0"/>
        <v>-2.6372963308678443E-3</v>
      </c>
      <c r="G6" s="32">
        <f t="shared" si="0"/>
        <v>0.23117497962237188</v>
      </c>
      <c r="H6" s="32">
        <f t="shared" si="0"/>
        <v>0.1694215175842706</v>
      </c>
      <c r="I6" s="32">
        <f t="shared" si="0"/>
        <v>-7.4465203486284715E-4</v>
      </c>
      <c r="J6" s="32">
        <f t="shared" si="0"/>
        <v>-0.73954685321158653</v>
      </c>
      <c r="O6" s="26"/>
      <c r="P6" s="26"/>
    </row>
    <row r="7" spans="1:16" outlineLevel="1"/>
    <row r="8" spans="1:16" outlineLevel="1">
      <c r="B8" s="29" t="s">
        <v>96</v>
      </c>
      <c r="C8" s="26">
        <f>IFERROR(SUM('Data Sheet'!E18,'Data Sheet'!E20,'Data Sheet'!E21,'Data Sheet'!E22,-1*'Data Sheet'!E19),0)</f>
        <v>21967.5</v>
      </c>
      <c r="D8" s="26">
        <f>IFERROR(SUM('Data Sheet'!F18,'Data Sheet'!F20,'Data Sheet'!F21,'Data Sheet'!F22,-1*'Data Sheet'!F19),0)</f>
        <v>24215.95</v>
      </c>
      <c r="E8" s="26">
        <f>IFERROR(SUM('Data Sheet'!G18,'Data Sheet'!G20,'Data Sheet'!G21,'Data Sheet'!G22,-1*'Data Sheet'!G19),0)</f>
        <v>24330.399999999998</v>
      </c>
      <c r="F8" s="26">
        <f>IFERROR(SUM('Data Sheet'!H18,'Data Sheet'!H20,'Data Sheet'!H21,'Data Sheet'!H22,-1*'Data Sheet'!H19),0)</f>
        <v>26881.51</v>
      </c>
      <c r="G8" s="26">
        <f>IFERROR(SUM('Data Sheet'!I18,'Data Sheet'!I20,'Data Sheet'!I21,'Data Sheet'!I22,-1*'Data Sheet'!I19),0)</f>
        <v>34053.060000000005</v>
      </c>
      <c r="H8" s="26">
        <f>IFERROR(SUM('Data Sheet'!J18,'Data Sheet'!J20,'Data Sheet'!J21,'Data Sheet'!J22,-1*'Data Sheet'!J19),0)</f>
        <v>38302.130000000005</v>
      </c>
      <c r="I8" s="26">
        <f>IFERROR(SUM('Data Sheet'!K18,'Data Sheet'!K20,'Data Sheet'!K21,'Data Sheet'!K22,-1*'Data Sheet'!K19),0)</f>
        <v>37015.479999999996</v>
      </c>
      <c r="J8" s="26">
        <f>IFERROR(SUM('Data Sheet'!K43:K43),0)</f>
        <v>11708.92</v>
      </c>
    </row>
    <row r="9" spans="1:16" outlineLevel="1">
      <c r="B9" s="31" t="s">
        <v>97</v>
      </c>
      <c r="C9" s="31">
        <f>C8/C5</f>
        <v>0.50559346211898382</v>
      </c>
      <c r="D9" s="32">
        <f t="shared" ref="D9:J9" si="1">D8/D5</f>
        <v>0.50095491106873502</v>
      </c>
      <c r="E9" s="32">
        <f t="shared" si="1"/>
        <v>0.49264088021916386</v>
      </c>
      <c r="F9" s="32">
        <f t="shared" si="1"/>
        <v>0.54573490913557243</v>
      </c>
      <c r="G9" s="32">
        <f t="shared" si="1"/>
        <v>0.56151897598695621</v>
      </c>
      <c r="H9" s="32">
        <f t="shared" si="1"/>
        <v>0.54008254202010386</v>
      </c>
      <c r="I9" s="32">
        <f t="shared" si="1"/>
        <v>0.52232897422777724</v>
      </c>
      <c r="J9" s="32">
        <f t="shared" si="1"/>
        <v>0.63437777836772702</v>
      </c>
    </row>
    <row r="10" spans="1:16" outlineLevel="1"/>
    <row r="11" spans="1:16" outlineLevel="1">
      <c r="B11" s="29" t="s">
        <v>98</v>
      </c>
      <c r="C11" s="26">
        <f>C5-C8</f>
        <v>21481.440000000002</v>
      </c>
      <c r="D11" s="26">
        <f t="shared" ref="D11:I11" si="2">D5-D8</f>
        <v>24123.63</v>
      </c>
      <c r="E11" s="26">
        <f t="shared" si="2"/>
        <v>25057.3</v>
      </c>
      <c r="F11" s="26">
        <f t="shared" si="2"/>
        <v>22375.94</v>
      </c>
      <c r="G11" s="26">
        <f t="shared" si="2"/>
        <v>26591.479999999996</v>
      </c>
      <c r="H11" s="26">
        <f t="shared" si="2"/>
        <v>32616.899999999994</v>
      </c>
      <c r="I11" s="26">
        <f t="shared" si="2"/>
        <v>33850.740000000005</v>
      </c>
      <c r="J11" s="26">
        <f>J5-J8</f>
        <v>6748.4100000000017</v>
      </c>
    </row>
    <row r="12" spans="1:16" outlineLevel="1"/>
    <row r="13" spans="1:16" outlineLevel="1">
      <c r="B13" s="29" t="s">
        <v>99</v>
      </c>
      <c r="C13" s="26">
        <f>IFERROR(SUM('Data Sheet'!E23:E24),0)</f>
        <v>4960.8500000000004</v>
      </c>
      <c r="D13" s="26">
        <f>IFERROR(SUM('Data Sheet'!F23:F24),0)</f>
        <v>5586.24</v>
      </c>
      <c r="E13" s="26">
        <f>IFERROR(SUM('Data Sheet'!G23:G24),0)</f>
        <v>5713.76</v>
      </c>
      <c r="F13" s="26">
        <f>IFERROR(SUM('Data Sheet'!H23:H24),0)</f>
        <v>5311.1600000000008</v>
      </c>
      <c r="G13" s="26">
        <f>IFERROR(SUM('Data Sheet'!I23:I24),0)</f>
        <v>5968.33</v>
      </c>
      <c r="H13" s="26">
        <f>IFERROR(SUM('Data Sheet'!J23:J24),0)</f>
        <v>6912.6399999999994</v>
      </c>
      <c r="I13" s="26">
        <f>IFERROR(SUM('Data Sheet'!K23:K24),0)</f>
        <v>7618.18</v>
      </c>
      <c r="J13" s="29">
        <v>0</v>
      </c>
    </row>
    <row r="14" spans="1:16" outlineLevel="1">
      <c r="B14" s="31" t="s">
        <v>100</v>
      </c>
      <c r="C14" s="31">
        <f>C13/C$5</f>
        <v>0.11417654838069698</v>
      </c>
      <c r="D14" s="32">
        <f t="shared" ref="D14:J14" si="3">D13/D$5</f>
        <v>0.11556244386070379</v>
      </c>
      <c r="E14" s="32">
        <f t="shared" si="3"/>
        <v>0.11569196378855465</v>
      </c>
      <c r="F14" s="32">
        <f t="shared" si="3"/>
        <v>0.10782450167436604</v>
      </c>
      <c r="G14" s="32">
        <f t="shared" si="3"/>
        <v>9.8414960357519399E-2</v>
      </c>
      <c r="H14" s="32">
        <f t="shared" si="3"/>
        <v>9.7472286352478302E-2</v>
      </c>
      <c r="I14" s="32">
        <f t="shared" si="3"/>
        <v>0.10750086571571053</v>
      </c>
      <c r="J14" s="32">
        <f t="shared" si="3"/>
        <v>0</v>
      </c>
    </row>
    <row r="15" spans="1:16" outlineLevel="1"/>
    <row r="16" spans="1:16" outlineLevel="1">
      <c r="B16" s="29" t="s">
        <v>101</v>
      </c>
      <c r="C16" s="26">
        <f>C11-C13</f>
        <v>16520.590000000004</v>
      </c>
      <c r="D16" s="26">
        <f t="shared" ref="D16:I16" si="4">D11-D13</f>
        <v>18537.39</v>
      </c>
      <c r="E16" s="26">
        <f t="shared" si="4"/>
        <v>19343.54</v>
      </c>
      <c r="F16" s="26">
        <f t="shared" si="4"/>
        <v>17064.78</v>
      </c>
      <c r="G16" s="26">
        <f t="shared" si="4"/>
        <v>20623.149999999994</v>
      </c>
      <c r="H16" s="26">
        <f t="shared" si="4"/>
        <v>25704.259999999995</v>
      </c>
      <c r="I16" s="26">
        <f t="shared" si="4"/>
        <v>26232.560000000005</v>
      </c>
      <c r="J16" s="26">
        <f>J11-J13</f>
        <v>6748.4100000000017</v>
      </c>
    </row>
    <row r="17" spans="2:10" outlineLevel="1">
      <c r="B17" s="31" t="s">
        <v>102</v>
      </c>
      <c r="C17" s="31">
        <f>C16/C$5</f>
        <v>0.38022998950031928</v>
      </c>
      <c r="D17" s="32">
        <f t="shared" ref="D17" si="5">D16/D$5</f>
        <v>0.38348264507056118</v>
      </c>
      <c r="E17" s="32">
        <f t="shared" ref="E17" si="6">E16/E$5</f>
        <v>0.39166715599228152</v>
      </c>
      <c r="F17" s="32">
        <f t="shared" ref="F17" si="7">F16/F$5</f>
        <v>0.3464405891900616</v>
      </c>
      <c r="G17" s="32">
        <f t="shared" ref="G17" si="8">G16/G$5</f>
        <v>0.34006606365552439</v>
      </c>
      <c r="H17" s="32">
        <f t="shared" ref="H17" si="9">H16/H$5</f>
        <v>0.36244517162741785</v>
      </c>
      <c r="I17" s="32">
        <f t="shared" ref="I17" si="10">I16/I$5</f>
        <v>0.37017016005651215</v>
      </c>
      <c r="J17" s="32">
        <f t="shared" ref="J17" si="11">J16/J$5</f>
        <v>0.36562222163227298</v>
      </c>
    </row>
    <row r="18" spans="2:10" outlineLevel="1"/>
    <row r="19" spans="2:10" outlineLevel="1">
      <c r="B19" s="29" t="s">
        <v>10</v>
      </c>
      <c r="C19" s="26">
        <f>IFERROR('Data Sheet'!E27,0)</f>
        <v>115.01</v>
      </c>
      <c r="D19" s="26">
        <f>IFERROR('Data Sheet'!F27,0)</f>
        <v>71.400000000000006</v>
      </c>
      <c r="E19" s="26">
        <f>IFERROR('Data Sheet'!G27,0)</f>
        <v>81.38</v>
      </c>
      <c r="F19" s="26">
        <f>IFERROR('Data Sheet'!H27,0)</f>
        <v>57.97</v>
      </c>
      <c r="G19" s="26">
        <f>IFERROR('Data Sheet'!I27,0)</f>
        <v>59.99</v>
      </c>
      <c r="H19" s="26">
        <f>IFERROR('Data Sheet'!J27,0)</f>
        <v>77.77</v>
      </c>
      <c r="I19" s="26">
        <f>IFERROR('Data Sheet'!K27,0)</f>
        <v>80.06</v>
      </c>
      <c r="J19" s="26">
        <f>IFERROR(SUM('Data Sheet'!K46,'Data Sheet'!K46),0)</f>
        <v>22.5</v>
      </c>
    </row>
    <row r="20" spans="2:10" outlineLevel="1">
      <c r="B20" s="31" t="s">
        <v>103</v>
      </c>
      <c r="C20" s="31">
        <f t="shared" ref="C20:J20" si="12">C19/C$5</f>
        <v>2.647015094039118E-3</v>
      </c>
      <c r="D20" s="32">
        <f t="shared" si="12"/>
        <v>1.4770504832685763E-3</v>
      </c>
      <c r="E20" s="32">
        <f t="shared" si="12"/>
        <v>1.647778697934911E-3</v>
      </c>
      <c r="F20" s="32">
        <f t="shared" si="12"/>
        <v>1.1768778123918311E-3</v>
      </c>
      <c r="G20" s="32">
        <f t="shared" si="12"/>
        <v>9.8920694262006107E-4</v>
      </c>
      <c r="H20" s="32">
        <f t="shared" si="12"/>
        <v>1.0966027031108574E-3</v>
      </c>
      <c r="I20" s="32">
        <f t="shared" si="12"/>
        <v>1.1297343078267756E-3</v>
      </c>
      <c r="J20" s="32">
        <f t="shared" si="12"/>
        <v>1.2190278875655362E-3</v>
      </c>
    </row>
    <row r="21" spans="2:10" outlineLevel="1"/>
    <row r="22" spans="2:10" outlineLevel="1">
      <c r="B22" s="29" t="s">
        <v>104</v>
      </c>
      <c r="C22" s="26">
        <f>IFERROR('Data Sheet'!E45,0)</f>
        <v>447.11</v>
      </c>
      <c r="D22" s="26">
        <f>IFERROR('Data Sheet'!F45,0)</f>
        <v>461.4</v>
      </c>
      <c r="E22" s="26">
        <f>IFERROR('Data Sheet'!G45,0)</f>
        <v>442.46</v>
      </c>
      <c r="F22" s="26">
        <f>IFERROR('Data Sheet'!H45,0)</f>
        <v>453.04</v>
      </c>
      <c r="G22" s="26">
        <f>IFERROR('Data Sheet'!I45,0)</f>
        <v>459.45</v>
      </c>
      <c r="H22" s="26">
        <f>IFERROR('Data Sheet'!J45,0)</f>
        <v>461.44</v>
      </c>
      <c r="I22" s="26">
        <f>IFERROR('Data Sheet'!K45,0)</f>
        <v>498.57</v>
      </c>
      <c r="J22" s="26">
        <f>IFERROR(SUM('Data Sheet'!K47:K47,),0)</f>
        <v>6930.43</v>
      </c>
    </row>
    <row r="23" spans="2:10" outlineLevel="1">
      <c r="B23" s="31" t="s">
        <v>105</v>
      </c>
      <c r="C23" s="31">
        <f t="shared" ref="C23" si="13">C22/C$5</f>
        <v>1.0290469686947483E-2</v>
      </c>
      <c r="D23" s="32">
        <f t="shared" ref="D23" si="14">D22/D$5</f>
        <v>9.5449732910381085E-3</v>
      </c>
      <c r="E23" s="32">
        <f t="shared" ref="E23" si="15">E22/E$5</f>
        <v>8.9589108219252974E-3</v>
      </c>
      <c r="F23" s="32">
        <f t="shared" ref="F23" si="16">F22/F$5</f>
        <v>9.1973904455062132E-3</v>
      </c>
      <c r="G23" s="32">
        <f t="shared" ref="G23" si="17">G22/G$5</f>
        <v>7.5761148489212711E-3</v>
      </c>
      <c r="H23" s="32">
        <f t="shared" ref="H23" si="18">H22/H$5</f>
        <v>6.5065751745335488E-3</v>
      </c>
      <c r="I23" s="32">
        <f t="shared" ref="I23" si="19">I22/I$5</f>
        <v>7.0353688964925739E-3</v>
      </c>
      <c r="J23" s="32">
        <f t="shared" ref="J23" si="20">J22/J$5</f>
        <v>0.37548388634759194</v>
      </c>
    </row>
    <row r="25" spans="2:10">
      <c r="B25" s="29" t="s">
        <v>106</v>
      </c>
      <c r="C25" s="26">
        <f>C16-SUM(C19,C22)</f>
        <v>15958.470000000003</v>
      </c>
      <c r="D25" s="26">
        <f>D16-SUM(D19,D22)</f>
        <v>18004.59</v>
      </c>
      <c r="E25" s="26">
        <f t="shared" ref="E25:I25" si="21">E16-SUM(E19,E22)</f>
        <v>18819.7</v>
      </c>
      <c r="F25" s="26">
        <f t="shared" si="21"/>
        <v>16553.77</v>
      </c>
      <c r="G25" s="26">
        <f t="shared" si="21"/>
        <v>20103.709999999995</v>
      </c>
      <c r="H25" s="26">
        <f t="shared" si="21"/>
        <v>25165.049999999996</v>
      </c>
      <c r="I25" s="26">
        <f t="shared" si="21"/>
        <v>25653.930000000004</v>
      </c>
      <c r="J25" s="26">
        <f>J16-SUM(J19,J22)</f>
        <v>-204.51999999999862</v>
      </c>
    </row>
    <row r="26" spans="2:10">
      <c r="B26" s="31" t="s">
        <v>107</v>
      </c>
      <c r="C26" s="31">
        <f t="shared" ref="C26" si="22">C25/C$5</f>
        <v>0.36729250471933267</v>
      </c>
      <c r="D26" s="32">
        <f t="shared" ref="D26" si="23">D25/D$5</f>
        <v>0.37246062129625451</v>
      </c>
      <c r="E26" s="32">
        <f t="shared" ref="E26" si="24">E25/E$5</f>
        <v>0.38106046647242131</v>
      </c>
      <c r="F26" s="32">
        <f t="shared" ref="F26" si="25">F25/F$5</f>
        <v>0.3360663209321636</v>
      </c>
      <c r="G26" s="32">
        <f t="shared" ref="G26" si="26">G25/G$5</f>
        <v>0.33150074186398304</v>
      </c>
      <c r="H26" s="32">
        <f t="shared" ref="H26" si="27">H25/H$5</f>
        <v>0.35484199374977343</v>
      </c>
      <c r="I26" s="32">
        <f t="shared" ref="I26" si="28">I25/I$5</f>
        <v>0.36200505685219281</v>
      </c>
      <c r="J26" s="32">
        <f t="shared" ref="J26" si="29">J25/J$5</f>
        <v>-1.1080692602884523E-2</v>
      </c>
    </row>
    <row r="28" spans="2:10">
      <c r="B28" s="29" t="s">
        <v>12</v>
      </c>
      <c r="C28" s="26">
        <f>IFERROR('Data Sheet'!E29,0)</f>
        <v>5916.43</v>
      </c>
      <c r="D28" s="26">
        <f>IFERROR('Data Sheet'!F29,0)</f>
        <v>6313.92</v>
      </c>
      <c r="E28" s="26">
        <f>IFERROR('Data Sheet'!G29,0)</f>
        <v>4441.79</v>
      </c>
      <c r="F28" s="26">
        <f>IFERROR('Data Sheet'!H29,0)</f>
        <v>4555.29</v>
      </c>
      <c r="G28" s="26">
        <f>IFERROR('Data Sheet'!I29,0)</f>
        <v>5237.34</v>
      </c>
      <c r="H28" s="26">
        <f>IFERROR('Data Sheet'!J29,0)</f>
        <v>6438.4</v>
      </c>
      <c r="I28" s="26">
        <f>IFERROR('Data Sheet'!K29,0)</f>
        <v>6388.52</v>
      </c>
      <c r="J28" s="26">
        <f>IFERROR(SUM('Data Sheet'!K48),0)</f>
        <v>1761.06</v>
      </c>
    </row>
    <row r="29" spans="2:10">
      <c r="B29" s="31" t="s">
        <v>108</v>
      </c>
      <c r="C29" s="31">
        <f>C28/C25</f>
        <v>0.3707391748707739</v>
      </c>
      <c r="D29" s="32">
        <f t="shared" ref="D29:I29" si="30">D28/D25</f>
        <v>0.35068390893655449</v>
      </c>
      <c r="E29" s="32">
        <f t="shared" si="30"/>
        <v>0.2360181086839854</v>
      </c>
      <c r="F29" s="32">
        <f t="shared" si="30"/>
        <v>0.27518142392941303</v>
      </c>
      <c r="G29" s="32">
        <f t="shared" si="30"/>
        <v>0.26051609379562285</v>
      </c>
      <c r="H29" s="32">
        <f t="shared" si="30"/>
        <v>0.25584689877429218</v>
      </c>
      <c r="I29" s="32">
        <f t="shared" si="30"/>
        <v>0.24902695220576337</v>
      </c>
      <c r="J29" s="32">
        <f>J28/J25</f>
        <v>-8.6106982202230196</v>
      </c>
    </row>
    <row r="31" spans="2:10">
      <c r="B31" s="29" t="s">
        <v>109</v>
      </c>
      <c r="C31" s="26">
        <f>IFERROR(C25-C29,0)</f>
        <v>15958.099260825133</v>
      </c>
      <c r="D31" s="26">
        <f t="shared" ref="D31:I31" si="31">IFERROR(D25-D29,0)</f>
        <v>18004.239316091065</v>
      </c>
      <c r="E31" s="26">
        <f t="shared" si="31"/>
        <v>18819.463981891317</v>
      </c>
      <c r="F31" s="26">
        <f t="shared" si="31"/>
        <v>16553.49481857607</v>
      </c>
      <c r="G31" s="26">
        <f t="shared" si="31"/>
        <v>20103.449483906199</v>
      </c>
      <c r="H31" s="26">
        <f t="shared" si="31"/>
        <v>25164.794153101222</v>
      </c>
      <c r="I31" s="26">
        <f t="shared" si="31"/>
        <v>25653.680973047798</v>
      </c>
      <c r="J31" s="26">
        <f>IFERROR(SUM('Data Sheet'!K49:K49),0)</f>
        <v>5091.59</v>
      </c>
    </row>
    <row r="32" spans="2:10">
      <c r="B32" s="31" t="s">
        <v>110</v>
      </c>
      <c r="C32" s="31">
        <f t="shared" ref="C32" si="32">C31/C$5</f>
        <v>0.3672839719639911</v>
      </c>
      <c r="D32" s="32">
        <f t="shared" ref="D32" si="33">D31/D$5</f>
        <v>0.37245336670469759</v>
      </c>
      <c r="E32" s="32">
        <f t="shared" ref="E32" si="34">E31/E$5</f>
        <v>0.38105568758802938</v>
      </c>
      <c r="F32" s="32">
        <f t="shared" ref="F32" si="35">F31/F$5</f>
        <v>0.3360607343371626</v>
      </c>
      <c r="G32" s="32">
        <f t="shared" ref="G32" si="36">G31/G$5</f>
        <v>0.33149644607587425</v>
      </c>
      <c r="H32" s="32">
        <f t="shared" ref="H32" si="37">H31/H$5</f>
        <v>0.35483838615814717</v>
      </c>
      <c r="I32" s="32">
        <f t="shared" ref="I32:J32" si="38">I31/I$5</f>
        <v>0.36200154280908164</v>
      </c>
      <c r="J32" s="32">
        <f t="shared" si="38"/>
        <v>0.27585734231332482</v>
      </c>
    </row>
    <row r="34" spans="1:10">
      <c r="B34" s="29" t="s">
        <v>111</v>
      </c>
      <c r="C34" s="29">
        <f>IFERROR('Data Sheet'!E93,0)</f>
        <v>1220.43</v>
      </c>
      <c r="D34" s="29">
        <f>IFERROR('Data Sheet'!F93,0)</f>
        <v>1225.8599999999999</v>
      </c>
      <c r="E34" s="29">
        <f>IFERROR('Data Sheet'!G93,0)</f>
        <v>1229.22</v>
      </c>
      <c r="F34" s="29">
        <f>IFERROR('Data Sheet'!H93,0)</f>
        <v>1230.8800000000001</v>
      </c>
      <c r="G34" s="29">
        <f>IFERROR('Data Sheet'!I93,0)</f>
        <v>1232.33</v>
      </c>
      <c r="H34" s="29">
        <f>IFERROR('Data Sheet'!J93,0)</f>
        <v>1242.8</v>
      </c>
      <c r="I34" s="29">
        <f>IFERROR('Data Sheet'!K93,0)</f>
        <v>1248.47</v>
      </c>
    </row>
    <row r="35" spans="1:10">
      <c r="B35" s="29" t="s">
        <v>14</v>
      </c>
      <c r="C35" s="26">
        <f>C31/C34</f>
        <v>13.075800546385398</v>
      </c>
      <c r="D35" s="26">
        <f t="shared" ref="D35:I35" si="39">D31/D34</f>
        <v>14.68702732456485</v>
      </c>
      <c r="E35" s="26">
        <f t="shared" si="39"/>
        <v>15.310086056109823</v>
      </c>
      <c r="F35" s="26">
        <f t="shared" si="39"/>
        <v>13.44850417471733</v>
      </c>
      <c r="G35" s="26">
        <f t="shared" si="39"/>
        <v>16.313365319278279</v>
      </c>
      <c r="H35" s="26">
        <f t="shared" si="39"/>
        <v>20.24846648946027</v>
      </c>
      <c r="I35" s="26">
        <f t="shared" si="39"/>
        <v>20.548095647510792</v>
      </c>
    </row>
    <row r="36" spans="1:10">
      <c r="B36" s="31" t="s">
        <v>112</v>
      </c>
      <c r="C36" s="31"/>
      <c r="D36" s="32">
        <f>IFERROR(D35/C35 -1,0)</f>
        <v>0.12322203695779455</v>
      </c>
      <c r="E36" s="32">
        <f t="shared" ref="E36:I36" si="40">IFERROR(E35/D35 -1,0)</f>
        <v>4.2422385263958251E-2</v>
      </c>
      <c r="F36" s="32">
        <f t="shared" si="40"/>
        <v>-0.12159186268254762</v>
      </c>
      <c r="G36" s="32">
        <f t="shared" si="40"/>
        <v>0.21302451985305382</v>
      </c>
      <c r="H36" s="32">
        <f t="shared" si="40"/>
        <v>0.24121945982118698</v>
      </c>
      <c r="I36" s="32">
        <f t="shared" si="40"/>
        <v>1.4797622240009467E-2</v>
      </c>
      <c r="J36" s="32"/>
    </row>
    <row r="37" spans="1:10">
      <c r="B37" s="31"/>
      <c r="C37" s="31"/>
      <c r="D37" s="32"/>
      <c r="E37" s="32"/>
      <c r="F37" s="32"/>
      <c r="G37" s="32"/>
      <c r="H37" s="32"/>
      <c r="I37" s="32"/>
      <c r="J37" s="32"/>
    </row>
    <row r="38" spans="1:10">
      <c r="B38" s="29" t="s">
        <v>113</v>
      </c>
      <c r="C38" s="26">
        <f>IFERROR('Data Sheet'!E31,0)</f>
        <v>6285.21</v>
      </c>
      <c r="D38" s="26">
        <f>IFERROR('Data Sheet'!F31,0)</f>
        <v>7048.7</v>
      </c>
      <c r="E38" s="26">
        <f>IFERROR('Data Sheet'!G31,0)</f>
        <v>12476.58</v>
      </c>
      <c r="F38" s="26">
        <f>IFERROR('Data Sheet'!H31,0)</f>
        <v>13231.96</v>
      </c>
      <c r="G38" s="26">
        <f>IFERROR('Data Sheet'!I31,0)</f>
        <v>14171.8</v>
      </c>
      <c r="H38" s="26">
        <f>IFERROR('Data Sheet'!J31,0)</f>
        <v>19263.400000000001</v>
      </c>
      <c r="I38" s="26">
        <f>IFERROR('Data Sheet'!K31,0)</f>
        <v>17166.46</v>
      </c>
      <c r="J38" s="29">
        <f>IFERROR('Data Sheet'!L31,0)</f>
        <v>0</v>
      </c>
    </row>
    <row r="39" spans="1:10">
      <c r="B39" s="29" t="s">
        <v>114</v>
      </c>
      <c r="C39" s="26">
        <f t="shared" ref="C39:I39" si="41">C38/C34</f>
        <v>5.1499963127750057</v>
      </c>
      <c r="D39" s="26">
        <f t="shared" si="41"/>
        <v>5.7500040787691908</v>
      </c>
      <c r="E39" s="26">
        <f t="shared" si="41"/>
        <v>10.149997559427929</v>
      </c>
      <c r="F39" s="26">
        <f t="shared" si="41"/>
        <v>10.749999999999998</v>
      </c>
      <c r="G39" s="26">
        <f t="shared" si="41"/>
        <v>11.500004057354767</v>
      </c>
      <c r="H39" s="26">
        <f t="shared" si="41"/>
        <v>15.500000000000002</v>
      </c>
      <c r="I39" s="26">
        <f t="shared" si="41"/>
        <v>13.749997997548999</v>
      </c>
      <c r="J39" s="29">
        <f>IFERROR(J38/J34,0)</f>
        <v>0</v>
      </c>
    </row>
    <row r="40" spans="1:10">
      <c r="B40" s="31" t="s">
        <v>115</v>
      </c>
      <c r="C40" s="31">
        <f>IFERROR(C39/C35,0)</f>
        <v>0.39385705636192514</v>
      </c>
      <c r="D40" s="32">
        <f t="shared" ref="D40:I40" si="42">IFERROR(D39/D35,0)</f>
        <v>0.39150223879218887</v>
      </c>
      <c r="E40" s="32">
        <f t="shared" si="42"/>
        <v>0.66296149624693657</v>
      </c>
      <c r="F40" s="32">
        <f t="shared" si="42"/>
        <v>0.79934540379662333</v>
      </c>
      <c r="G40" s="32">
        <f t="shared" si="42"/>
        <v>0.70494369691854231</v>
      </c>
      <c r="H40" s="32">
        <f t="shared" si="42"/>
        <v>0.76549006849817791</v>
      </c>
      <c r="I40" s="32">
        <f t="shared" si="42"/>
        <v>0.6691616699387265</v>
      </c>
      <c r="J40" s="32"/>
    </row>
    <row r="42" spans="1:10">
      <c r="B42" s="29" t="s">
        <v>116</v>
      </c>
      <c r="C42" s="33">
        <f>IFERROR(IF(C35&gt;C39,1-C40,0),0)</f>
        <v>0.60614294363807486</v>
      </c>
      <c r="D42" s="33">
        <f t="shared" ref="D42:I42" si="43">IFERROR(IF(D35&gt;D39,1-D40,0),0)</f>
        <v>0.60849776120781107</v>
      </c>
      <c r="E42" s="33">
        <f t="shared" si="43"/>
        <v>0.33703850375306343</v>
      </c>
      <c r="F42" s="33">
        <f t="shared" si="43"/>
        <v>0.20065459620337667</v>
      </c>
      <c r="G42" s="33">
        <f t="shared" si="43"/>
        <v>0.29505630308145769</v>
      </c>
      <c r="H42" s="33">
        <f t="shared" si="43"/>
        <v>0.23450993150182209</v>
      </c>
      <c r="I42" s="33">
        <f t="shared" si="43"/>
        <v>0.3308383300612735</v>
      </c>
    </row>
    <row r="45" spans="1:10">
      <c r="A45" s="29" t="s">
        <v>94</v>
      </c>
      <c r="B45" s="30" t="s">
        <v>117</v>
      </c>
      <c r="C45" s="25">
        <v>43190</v>
      </c>
      <c r="D45" s="25">
        <v>43555</v>
      </c>
      <c r="E45" s="25">
        <v>43921</v>
      </c>
      <c r="F45" s="25">
        <v>44286</v>
      </c>
      <c r="G45" s="25">
        <v>44651</v>
      </c>
      <c r="H45" s="25">
        <v>45016</v>
      </c>
      <c r="I45" s="25">
        <v>45382</v>
      </c>
      <c r="J45" s="30"/>
    </row>
    <row r="47" spans="1:10">
      <c r="B47" s="29" t="s">
        <v>30</v>
      </c>
      <c r="C47" s="26">
        <f>'Data Sheet'!E57</f>
        <v>1220.43</v>
      </c>
      <c r="D47" s="26">
        <f>'Data Sheet'!F57</f>
        <v>1225.8599999999999</v>
      </c>
      <c r="E47" s="26">
        <f>'Data Sheet'!G57</f>
        <v>1229.22</v>
      </c>
      <c r="F47" s="26">
        <f>'Data Sheet'!H57</f>
        <v>1230.8800000000001</v>
      </c>
      <c r="G47" s="26">
        <f>'Data Sheet'!I57</f>
        <v>1232.33</v>
      </c>
      <c r="H47" s="26">
        <f>'Data Sheet'!J57</f>
        <v>1242.8</v>
      </c>
      <c r="I47" s="26">
        <f>'Data Sheet'!K57</f>
        <v>1248.47</v>
      </c>
      <c r="J47" s="29">
        <f>'Data Sheet'!L57</f>
        <v>0</v>
      </c>
    </row>
    <row r="48" spans="1:10">
      <c r="B48" s="29" t="s">
        <v>31</v>
      </c>
      <c r="C48" s="26">
        <f>'Data Sheet'!E58</f>
        <v>51289.68</v>
      </c>
      <c r="D48" s="26">
        <f>'Data Sheet'!F58</f>
        <v>57915.01</v>
      </c>
      <c r="E48" s="26">
        <f>'Data Sheet'!G58</f>
        <v>64044.04</v>
      </c>
      <c r="F48" s="26">
        <f>'Data Sheet'!H58</f>
        <v>59116.46</v>
      </c>
      <c r="G48" s="26">
        <f>'Data Sheet'!I58</f>
        <v>61223.24</v>
      </c>
      <c r="H48" s="26">
        <f>'Data Sheet'!J58</f>
        <v>67912.460000000006</v>
      </c>
      <c r="I48" s="26">
        <f>'Data Sheet'!K58</f>
        <v>73258.53</v>
      </c>
      <c r="J48" s="29">
        <f>'Data Sheet'!L58</f>
        <v>0</v>
      </c>
    </row>
    <row r="49" spans="2:10">
      <c r="B49" s="29" t="s">
        <v>32</v>
      </c>
      <c r="C49" s="26">
        <f>'Data Sheet'!E59</f>
        <v>35.92</v>
      </c>
      <c r="D49" s="26">
        <f>'Data Sheet'!F59</f>
        <v>13.44</v>
      </c>
      <c r="E49" s="26">
        <f>'Data Sheet'!G59</f>
        <v>277.45</v>
      </c>
      <c r="F49" s="26">
        <f>'Data Sheet'!H59</f>
        <v>270.83</v>
      </c>
      <c r="G49" s="26">
        <f>'Data Sheet'!I59</f>
        <v>249.44</v>
      </c>
      <c r="H49" s="26">
        <f>'Data Sheet'!J59</f>
        <v>306.04000000000002</v>
      </c>
      <c r="I49" s="26">
        <f>'Data Sheet'!K59</f>
        <v>303.43</v>
      </c>
      <c r="J49" s="29">
        <f>'Data Sheet'!L59</f>
        <v>0</v>
      </c>
    </row>
    <row r="50" spans="2:10" ht="14.65" thickBot="1">
      <c r="B50" s="29" t="s">
        <v>33</v>
      </c>
      <c r="C50" s="26">
        <f>'Data Sheet'!E60</f>
        <v>11694.85</v>
      </c>
      <c r="D50" s="26">
        <f>'Data Sheet'!F60</f>
        <v>12584.73</v>
      </c>
      <c r="E50" s="26">
        <f>'Data Sheet'!G60</f>
        <v>11760.04</v>
      </c>
      <c r="F50" s="26">
        <f>'Data Sheet'!H60</f>
        <v>13142.59</v>
      </c>
      <c r="G50" s="26">
        <f>'Data Sheet'!I60</f>
        <v>14491.01</v>
      </c>
      <c r="H50" s="26">
        <f>'Data Sheet'!J60</f>
        <v>16369.66</v>
      </c>
      <c r="I50" s="26">
        <f>'Data Sheet'!K60</f>
        <v>16943.54</v>
      </c>
      <c r="J50" s="29">
        <f>'Data Sheet'!L60</f>
        <v>0</v>
      </c>
    </row>
    <row r="51" spans="2:10" ht="15" thickTop="1" thickBot="1">
      <c r="B51" s="34" t="s">
        <v>118</v>
      </c>
      <c r="C51" s="36">
        <f>IF(SUM(C47:C50)='Data Sheet'!E61,(SUM(C47:C50)),"Doesnt Tally")</f>
        <v>64240.88</v>
      </c>
      <c r="D51" s="36">
        <f>IF(SUM(D47:D50)='Data Sheet'!F61,(SUM(D47:D50)),"DOesnt Tally")</f>
        <v>71739.040000000008</v>
      </c>
      <c r="E51" s="36">
        <f>IF(SUM(E47:E50)='Data Sheet'!G61,(SUM(E47:E50)),"DOesnt Tally")</f>
        <v>77310.75</v>
      </c>
      <c r="F51" s="36">
        <f>IF(SUM(F47:F50)='Data Sheet'!H61,(SUM(F47:F50)),"DOesnt Tally")</f>
        <v>73760.759999999995</v>
      </c>
      <c r="G51" s="36">
        <f>IF(SUM(G47:G50)='Data Sheet'!I61,(SUM(G47:G50)),"DOesnt Tally")</f>
        <v>77196.02</v>
      </c>
      <c r="H51" s="36">
        <f>IF(SUM(H47:H50)='Data Sheet'!J61,(SUM(H47:H50)),"DOesnt Tally")</f>
        <v>85830.96</v>
      </c>
      <c r="I51" s="36">
        <f>IF(SUM(I47:I50)='Data Sheet'!K61,(SUM(I47:I50)),"DOesnt Tally")</f>
        <v>91753.97</v>
      </c>
      <c r="J51" s="29">
        <f>IF(SUM(J47:J50)='Data Sheet'!L61,(SUM(J47:J50)),"DOesnt Tally")</f>
        <v>0</v>
      </c>
    </row>
    <row r="52" spans="2:10" ht="14.65" thickTop="1"/>
    <row r="53" spans="2:10">
      <c r="B53" s="29" t="s">
        <v>119</v>
      </c>
      <c r="C53" s="26">
        <f>IFERROR('Data Sheet'!E62,0)</f>
        <v>16523.96</v>
      </c>
      <c r="D53" s="26">
        <f>IFERROR('Data Sheet'!F62,0)</f>
        <v>19374.189999999999</v>
      </c>
      <c r="E53" s="26">
        <f>IFERROR('Data Sheet'!G62,0)</f>
        <v>21713.34</v>
      </c>
      <c r="F53" s="26">
        <f>IFERROR('Data Sheet'!H62,0)</f>
        <v>23298.48</v>
      </c>
      <c r="G53" s="26">
        <f>IFERROR('Data Sheet'!I62,0)</f>
        <v>24231.59</v>
      </c>
      <c r="H53" s="26">
        <f>IFERROR('Data Sheet'!J62,0)</f>
        <v>25851.27</v>
      </c>
      <c r="I53" s="26">
        <f>IFERROR('Data Sheet'!K62,0)</f>
        <v>27820.22</v>
      </c>
      <c r="J53" s="29">
        <f>IFERROR('Data Sheet'!L62,0)</f>
        <v>0</v>
      </c>
    </row>
    <row r="54" spans="2:10">
      <c r="B54" s="29" t="s">
        <v>36</v>
      </c>
      <c r="C54" s="26">
        <f>IFERROR('Data Sheet'!E63,0)</f>
        <v>5508.33</v>
      </c>
      <c r="D54" s="26">
        <f>IFERROR('Data Sheet'!F63,0)</f>
        <v>4136.42</v>
      </c>
      <c r="E54" s="26">
        <f>IFERROR('Data Sheet'!G63,0)</f>
        <v>3256.46</v>
      </c>
      <c r="F54" s="26">
        <f>IFERROR('Data Sheet'!H63,0)</f>
        <v>4011.29</v>
      </c>
      <c r="G54" s="26">
        <f>IFERROR('Data Sheet'!I63,0)</f>
        <v>3225.54</v>
      </c>
      <c r="H54" s="26">
        <f>IFERROR('Data Sheet'!J63,0)</f>
        <v>3003.3</v>
      </c>
      <c r="I54" s="26">
        <f>IFERROR('Data Sheet'!K63,0)</f>
        <v>2860.78</v>
      </c>
      <c r="J54" s="29">
        <f>IFERROR('Data Sheet'!L63,0)</f>
        <v>0</v>
      </c>
    </row>
    <row r="55" spans="2:10">
      <c r="B55" s="29" t="s">
        <v>37</v>
      </c>
      <c r="C55" s="26">
        <f>IFERROR('Data Sheet'!E64,0)</f>
        <v>22052.86</v>
      </c>
      <c r="D55" s="26">
        <f>IFERROR('Data Sheet'!F64,0)</f>
        <v>25043.49</v>
      </c>
      <c r="E55" s="26">
        <f>IFERROR('Data Sheet'!G64,0)</f>
        <v>28663.35</v>
      </c>
      <c r="F55" s="26">
        <f>IFERROR('Data Sheet'!H64,0)</f>
        <v>24870.87</v>
      </c>
      <c r="G55" s="26">
        <f>IFERROR('Data Sheet'!I64,0)</f>
        <v>24841.01</v>
      </c>
      <c r="H55" s="26">
        <f>IFERROR('Data Sheet'!J64,0)</f>
        <v>29415.02</v>
      </c>
      <c r="I55" s="26">
        <f>IFERROR('Data Sheet'!K64,0)</f>
        <v>31114.02</v>
      </c>
      <c r="J55" s="29">
        <f>IFERROR('Data Sheet'!L64,0)</f>
        <v>0</v>
      </c>
    </row>
    <row r="56" spans="2:10" ht="14.65" thickBot="1">
      <c r="B56" s="29" t="s">
        <v>38</v>
      </c>
      <c r="C56" s="26">
        <f>IFERROR('Data Sheet'!E65-SUM(C59:C61),0)</f>
        <v>7078.7499999999982</v>
      </c>
      <c r="D56" s="26">
        <f>IFERROR('Data Sheet'!F65-SUM(D59:D61),0)</f>
        <v>7138.07</v>
      </c>
      <c r="E56" s="26">
        <f>IFERROR('Data Sheet'!G65-SUM(E59:E61),0)</f>
        <v>4958.4499999999971</v>
      </c>
      <c r="F56" s="26">
        <f>IFERROR('Data Sheet'!H65-SUM(F59:F61),0)</f>
        <v>4022.239999999998</v>
      </c>
      <c r="G56" s="26">
        <f>IFERROR('Data Sheet'!I65-SUM(G59:G61),0)</f>
        <v>6917.41</v>
      </c>
      <c r="H56" s="26">
        <f>IFERROR('Data Sheet'!J65-SUM(H59:H61),0)</f>
        <v>7953.8499999999985</v>
      </c>
      <c r="I56" s="26">
        <f>IFERROR('Data Sheet'!K65-SUM(I59:I61),0)</f>
        <v>4562.57</v>
      </c>
      <c r="J56" s="29">
        <f>IFERROR('Data Sheet'!L65,0)</f>
        <v>0</v>
      </c>
    </row>
    <row r="57" spans="2:10" ht="15" thickTop="1" thickBot="1">
      <c r="B57" s="34" t="s">
        <v>120</v>
      </c>
      <c r="C57" s="36">
        <f>SUM(C56,C55,C54,C53)</f>
        <v>51163.9</v>
      </c>
      <c r="D57" s="36">
        <f t="shared" ref="D57:I57" si="44">SUM(D56,D55,D54,D53)</f>
        <v>55692.17</v>
      </c>
      <c r="E57" s="36">
        <f t="shared" si="44"/>
        <v>58591.599999999991</v>
      </c>
      <c r="F57" s="36">
        <f t="shared" si="44"/>
        <v>56202.87999999999</v>
      </c>
      <c r="G57" s="36">
        <f t="shared" si="44"/>
        <v>59215.55</v>
      </c>
      <c r="H57" s="36">
        <f t="shared" si="44"/>
        <v>66223.44</v>
      </c>
      <c r="I57" s="36">
        <f t="shared" si="44"/>
        <v>66357.59</v>
      </c>
      <c r="J57" s="29">
        <f>IF(SUM(J53:J56)='Data Sheet'!L66,(SUM(J53:J56)),"Doesnt Tally")</f>
        <v>0</v>
      </c>
    </row>
    <row r="58" spans="2:10" ht="14.65" thickTop="1">
      <c r="B58" s="35"/>
      <c r="C58" s="26"/>
      <c r="D58" s="26"/>
      <c r="E58" s="26"/>
      <c r="F58" s="26"/>
      <c r="G58" s="26"/>
      <c r="H58" s="26"/>
      <c r="I58" s="26"/>
    </row>
    <row r="59" spans="2:10">
      <c r="B59" s="29" t="s">
        <v>83</v>
      </c>
      <c r="C59" s="26">
        <f>IFERROR('Data Sheet'!E67,0)</f>
        <v>2682.29</v>
      </c>
      <c r="D59" s="26">
        <f>IFERROR('Data Sheet'!F67,0)</f>
        <v>4035.28</v>
      </c>
      <c r="E59" s="26">
        <f>IFERROR('Data Sheet'!G67,0)</f>
        <v>2562.48</v>
      </c>
      <c r="F59" s="26">
        <f>IFERROR('Data Sheet'!H67,0)</f>
        <v>2501.6999999999998</v>
      </c>
      <c r="G59" s="26">
        <f>IFERROR('Data Sheet'!I67,0)</f>
        <v>2461.9</v>
      </c>
      <c r="H59" s="26">
        <f>IFERROR('Data Sheet'!J67,0)</f>
        <v>2956.17</v>
      </c>
      <c r="I59" s="26">
        <f>IFERROR('Data Sheet'!K67,0)</f>
        <v>4025.82</v>
      </c>
      <c r="J59" s="29">
        <f>IFERROR('Data Sheet'!L67,0)</f>
        <v>0</v>
      </c>
    </row>
    <row r="60" spans="2:10">
      <c r="B60" s="29" t="s">
        <v>41</v>
      </c>
      <c r="C60" s="26">
        <f>IFERROR('Data Sheet'!E68,0)</f>
        <v>7495.09</v>
      </c>
      <c r="D60" s="26">
        <f>IFERROR('Data Sheet'!F68,0)</f>
        <v>7859.56</v>
      </c>
      <c r="E60" s="26">
        <f>IFERROR('Data Sheet'!G68,0)</f>
        <v>8879.33</v>
      </c>
      <c r="F60" s="26">
        <f>IFERROR('Data Sheet'!H68,0)</f>
        <v>10397.16</v>
      </c>
      <c r="G60" s="26">
        <f>IFERROR('Data Sheet'!I68,0)</f>
        <v>10864.15</v>
      </c>
      <c r="H60" s="26">
        <f>IFERROR('Data Sheet'!J68,0)</f>
        <v>11771.16</v>
      </c>
      <c r="I60" s="26">
        <f>IFERROR('Data Sheet'!K68,0)</f>
        <v>14152.88</v>
      </c>
      <c r="J60" s="29">
        <f>IFERROR('Data Sheet'!L68,0)</f>
        <v>0</v>
      </c>
    </row>
    <row r="61" spans="2:10" ht="14.65" thickBot="1">
      <c r="B61" s="29" t="s">
        <v>84</v>
      </c>
      <c r="C61" s="26">
        <f>IFERROR('Data Sheet'!E69,0)</f>
        <v>2899.6</v>
      </c>
      <c r="D61" s="26">
        <f>IFERROR('Data Sheet'!F69,0)</f>
        <v>4152.03</v>
      </c>
      <c r="E61" s="26">
        <f>IFERROR('Data Sheet'!G69,0)</f>
        <v>7277.34</v>
      </c>
      <c r="F61" s="26">
        <f>IFERROR('Data Sheet'!H69,0)</f>
        <v>4659.0200000000004</v>
      </c>
      <c r="G61" s="26">
        <f>IFERROR('Data Sheet'!I69,0)</f>
        <v>4654.42</v>
      </c>
      <c r="H61" s="26">
        <f>IFERROR('Data Sheet'!J69,0)</f>
        <v>4880.1899999999996</v>
      </c>
      <c r="I61" s="26">
        <f>IFERROR('Data Sheet'!K69,0)</f>
        <v>7217.68</v>
      </c>
      <c r="J61" s="29">
        <f>IFERROR('Data Sheet'!L69,0)</f>
        <v>0</v>
      </c>
    </row>
    <row r="62" spans="2:10" ht="15" thickTop="1" thickBot="1">
      <c r="B62" s="34" t="s">
        <v>121</v>
      </c>
      <c r="C62" s="36">
        <f>SUM(C59:C61)</f>
        <v>13076.980000000001</v>
      </c>
      <c r="D62" s="36">
        <f t="shared" ref="D62:I62" si="45">SUM(D59:D61)</f>
        <v>16046.869999999999</v>
      </c>
      <c r="E62" s="36">
        <f t="shared" si="45"/>
        <v>18719.150000000001</v>
      </c>
      <c r="F62" s="36">
        <f t="shared" si="45"/>
        <v>17557.88</v>
      </c>
      <c r="G62" s="36">
        <f t="shared" si="45"/>
        <v>17980.47</v>
      </c>
      <c r="H62" s="36">
        <f t="shared" si="45"/>
        <v>19607.52</v>
      </c>
      <c r="I62" s="36">
        <f t="shared" si="45"/>
        <v>25396.38</v>
      </c>
    </row>
    <row r="63" spans="2:10" ht="15" thickTop="1" thickBot="1">
      <c r="C63" s="26"/>
      <c r="D63" s="26"/>
      <c r="E63" s="26"/>
      <c r="F63" s="26"/>
      <c r="G63" s="26"/>
      <c r="H63" s="26"/>
      <c r="I63" s="26"/>
    </row>
    <row r="64" spans="2:10" ht="15" thickTop="1" thickBot="1">
      <c r="B64" s="34" t="s">
        <v>122</v>
      </c>
      <c r="C64" s="36">
        <f>C62+C57</f>
        <v>64240.880000000005</v>
      </c>
      <c r="D64" s="36">
        <f t="shared" ref="D64:I64" si="46">D62+D57</f>
        <v>71739.039999999994</v>
      </c>
      <c r="E64" s="36">
        <f t="shared" si="46"/>
        <v>77310.75</v>
      </c>
      <c r="F64" s="36">
        <f t="shared" si="46"/>
        <v>73760.759999999995</v>
      </c>
      <c r="G64" s="36">
        <f t="shared" si="46"/>
        <v>77196.02</v>
      </c>
      <c r="H64" s="36">
        <f t="shared" si="46"/>
        <v>85830.96</v>
      </c>
      <c r="I64" s="36">
        <f t="shared" si="46"/>
        <v>91753.97</v>
      </c>
    </row>
    <row r="65" spans="2:9" ht="14.65" thickTop="1"/>
    <row r="66" spans="2:9">
      <c r="B66" s="30" t="s">
        <v>123</v>
      </c>
      <c r="C66" s="25">
        <v>43190</v>
      </c>
      <c r="D66" s="25">
        <v>43555</v>
      </c>
      <c r="E66" s="25">
        <v>43921</v>
      </c>
      <c r="F66" s="25">
        <v>44286</v>
      </c>
      <c r="G66" s="25">
        <v>44651</v>
      </c>
      <c r="H66" s="25">
        <v>45016</v>
      </c>
      <c r="I66" s="25">
        <v>45382</v>
      </c>
    </row>
    <row r="68" spans="2:9">
      <c r="B68" s="35" t="s">
        <v>124</v>
      </c>
    </row>
    <row r="69" spans="2:9">
      <c r="B69" s="29" t="s">
        <v>125</v>
      </c>
      <c r="C69" s="26">
        <f>IFERROR(Cashflow!H4,0)</f>
        <v>17433</v>
      </c>
      <c r="D69" s="26">
        <f>IFERROR(Cashflow!I4,0)</f>
        <v>18862</v>
      </c>
      <c r="E69" s="26">
        <f>IFERROR(Cashflow!J4,0)</f>
        <v>19416</v>
      </c>
      <c r="F69" s="26">
        <f>IFERROR(Cashflow!K4,0)</f>
        <v>17326</v>
      </c>
      <c r="G69" s="26">
        <f>IFERROR(Cashflow!L4,0)</f>
        <v>20857</v>
      </c>
      <c r="H69" s="26">
        <f>IFERROR(Cashflow!M4,0)</f>
        <v>26052</v>
      </c>
      <c r="I69" s="26">
        <f>IFERROR(Cashflow!N4,0)</f>
        <v>26635</v>
      </c>
    </row>
    <row r="70" spans="2:9">
      <c r="B70" s="29" t="s">
        <v>83</v>
      </c>
      <c r="C70" s="26">
        <f>IFERROR(Cashflow!H5,0)</f>
        <v>-964</v>
      </c>
      <c r="D70" s="26">
        <f>IFERROR(Cashflow!I5,0)</f>
        <v>-755</v>
      </c>
      <c r="E70" s="26">
        <f>IFERROR(Cashflow!J5,0)</f>
        <v>1411</v>
      </c>
      <c r="F70" s="26">
        <f>IFERROR(Cashflow!K5,0)</f>
        <v>-66</v>
      </c>
      <c r="G70" s="26">
        <f>IFERROR(Cashflow!L5,0)</f>
        <v>-732</v>
      </c>
      <c r="H70" s="26">
        <f>IFERROR(Cashflow!M5,0)</f>
        <v>-884</v>
      </c>
      <c r="I70" s="26">
        <f>IFERROR(Cashflow!N5,0)</f>
        <v>-934</v>
      </c>
    </row>
    <row r="71" spans="2:9">
      <c r="B71" s="29" t="s">
        <v>41</v>
      </c>
      <c r="C71" s="26">
        <f>IFERROR(Cashflow!H6,0)</f>
        <v>602</v>
      </c>
      <c r="D71" s="26">
        <f>IFERROR(Cashflow!I6,0)</f>
        <v>-359</v>
      </c>
      <c r="E71" s="26">
        <f>IFERROR(Cashflow!J6,0)</f>
        <v>-508</v>
      </c>
      <c r="F71" s="26">
        <f>IFERROR(Cashflow!K6,0)</f>
        <v>-1460</v>
      </c>
      <c r="G71" s="26">
        <f>IFERROR(Cashflow!L6,0)</f>
        <v>-466</v>
      </c>
      <c r="H71" s="26">
        <f>IFERROR(Cashflow!M6,0)</f>
        <v>-1098</v>
      </c>
      <c r="I71" s="26">
        <f>IFERROR(Cashflow!N6,0)</f>
        <v>-2545</v>
      </c>
    </row>
    <row r="72" spans="2:9">
      <c r="B72" s="29" t="s">
        <v>126</v>
      </c>
      <c r="C72" s="26">
        <f>IFERROR(Cashflow!H7,0)</f>
        <v>2098</v>
      </c>
      <c r="D72" s="26">
        <f>IFERROR(Cashflow!I7,0)</f>
        <v>639</v>
      </c>
      <c r="E72" s="26">
        <f>IFERROR(Cashflow!J7,0)</f>
        <v>-607</v>
      </c>
      <c r="F72" s="26">
        <f>IFERROR(Cashflow!K7,0)</f>
        <v>1112</v>
      </c>
      <c r="G72" s="26">
        <f>IFERROR(Cashflow!L7,0)</f>
        <v>1099</v>
      </c>
      <c r="H72" s="26">
        <f>IFERROR(Cashflow!M7,0)</f>
        <v>1058</v>
      </c>
      <c r="I72" s="26">
        <f>IFERROR(Cashflow!N7,0)</f>
        <v>141</v>
      </c>
    </row>
    <row r="73" spans="2:9">
      <c r="B73" s="29" t="s">
        <v>127</v>
      </c>
      <c r="C73" s="26">
        <f>IFERROR(Cashflow!G8,0)</f>
        <v>0</v>
      </c>
      <c r="D73" s="26">
        <f>IFERROR(Cashflow!H8,0)</f>
        <v>0</v>
      </c>
      <c r="E73" s="26">
        <f>IFERROR(Cashflow!I8,0)</f>
        <v>0</v>
      </c>
      <c r="F73" s="26">
        <f>IFERROR(Cashflow!J8,0)</f>
        <v>0</v>
      </c>
      <c r="G73" s="26">
        <f>IFERROR(Cashflow!K8,0)</f>
        <v>0</v>
      </c>
      <c r="H73" s="26">
        <f>IFERROR(Cashflow!L8,0)</f>
        <v>0</v>
      </c>
      <c r="I73" s="26">
        <f>IFERROR(Cashflow!M8,0)</f>
        <v>0</v>
      </c>
    </row>
    <row r="74" spans="2:9">
      <c r="B74" s="29" t="s">
        <v>128</v>
      </c>
      <c r="C74" s="26">
        <f>IFERROR(Cashflow!H8,0)</f>
        <v>0</v>
      </c>
      <c r="D74" s="26">
        <f>IFERROR(Cashflow!I8,0)</f>
        <v>0</v>
      </c>
      <c r="E74" s="26">
        <f>IFERROR(Cashflow!J8,0)</f>
        <v>0</v>
      </c>
      <c r="F74" s="26">
        <f>IFERROR(Cashflow!K8,0)</f>
        <v>0</v>
      </c>
      <c r="G74" s="26">
        <f>IFERROR(Cashflow!L8,0)</f>
        <v>0</v>
      </c>
      <c r="H74" s="26">
        <f>IFERROR(Cashflow!M8,0)</f>
        <v>0</v>
      </c>
      <c r="I74" s="26">
        <f>IFERROR(Cashflow!N8,0)</f>
        <v>0</v>
      </c>
    </row>
    <row r="75" spans="2:9">
      <c r="B75" s="29" t="s">
        <v>129</v>
      </c>
      <c r="C75" s="26">
        <f>IFERROR(Cashflow!H9,0)</f>
        <v>1736</v>
      </c>
      <c r="D75" s="26">
        <f>IFERROR(Cashflow!I9,0)</f>
        <v>-476</v>
      </c>
      <c r="E75" s="26">
        <f>IFERROR(Cashflow!J9,0)</f>
        <v>296</v>
      </c>
      <c r="F75" s="26">
        <f>IFERROR(Cashflow!K9,0)</f>
        <v>-413</v>
      </c>
      <c r="G75" s="26">
        <f>IFERROR(Cashflow!L9,0)</f>
        <v>-100</v>
      </c>
      <c r="H75" s="26">
        <f>IFERROR(Cashflow!M9,0)</f>
        <v>-924</v>
      </c>
      <c r="I75" s="26">
        <f>IFERROR(Cashflow!N9,0)</f>
        <v>-3337</v>
      </c>
    </row>
    <row r="76" spans="2:9" ht="14.65" thickBot="1">
      <c r="B76" s="29" t="s">
        <v>130</v>
      </c>
      <c r="C76" s="26">
        <f>IFERROR(Cashflow!H10,0)</f>
        <v>-6000</v>
      </c>
      <c r="D76" s="26">
        <f>IFERROR(Cashflow!I10,0)</f>
        <v>-5803</v>
      </c>
      <c r="E76" s="26">
        <f>IFERROR(Cashflow!J10,0)</f>
        <v>-5023</v>
      </c>
      <c r="F76" s="26">
        <f>IFERROR(Cashflow!K10,0)</f>
        <v>-4387</v>
      </c>
      <c r="G76" s="26">
        <f>IFERROR(Cashflow!L10,0)</f>
        <v>-4982</v>
      </c>
      <c r="H76" s="26">
        <f>IFERROR(Cashflow!M10,0)</f>
        <v>-6250</v>
      </c>
      <c r="I76" s="26">
        <f>IFERROR(Cashflow!N10,0)</f>
        <v>-6120</v>
      </c>
    </row>
    <row r="77" spans="2:9" ht="15" thickTop="1" thickBot="1">
      <c r="B77" s="34" t="s">
        <v>131</v>
      </c>
      <c r="C77" s="36">
        <f>SUM(C69:C74,C76)</f>
        <v>13169</v>
      </c>
      <c r="D77" s="36">
        <f>SUM(D69:D76)</f>
        <v>12108</v>
      </c>
      <c r="E77" s="36">
        <f>SUM(E69:E76)</f>
        <v>14985</v>
      </c>
      <c r="F77" s="36">
        <f>SUM(F69:F76)</f>
        <v>12112</v>
      </c>
      <c r="G77" s="36">
        <f>SUM(G69:G76)</f>
        <v>15676</v>
      </c>
      <c r="H77" s="36">
        <f>SUM(H69:H76)</f>
        <v>17954</v>
      </c>
      <c r="I77" s="36">
        <f>SUM(I69:I76)</f>
        <v>13840</v>
      </c>
    </row>
    <row r="78" spans="2:9" ht="14.65" thickTop="1">
      <c r="C78" s="26"/>
      <c r="D78" s="26"/>
      <c r="E78" s="26"/>
      <c r="F78" s="26"/>
      <c r="G78" s="26"/>
      <c r="H78" s="26"/>
      <c r="I78" s="26"/>
    </row>
    <row r="79" spans="2:9">
      <c r="B79" s="35" t="s">
        <v>132</v>
      </c>
      <c r="C79" s="26"/>
      <c r="D79" s="26"/>
      <c r="E79" s="26"/>
      <c r="F79" s="26"/>
      <c r="G79" s="26"/>
      <c r="H79" s="26"/>
      <c r="I79" s="26"/>
    </row>
    <row r="80" spans="2:9">
      <c r="B80" s="38" t="s">
        <v>133</v>
      </c>
      <c r="C80" s="26">
        <f>IFERROR(Cashflow!H12,0)</f>
        <v>-2878</v>
      </c>
      <c r="D80" s="26">
        <f>IFERROR(Cashflow!I12,0)</f>
        <v>-3169</v>
      </c>
      <c r="E80" s="26">
        <f>IFERROR(Cashflow!J12,0)</f>
        <v>-2441</v>
      </c>
      <c r="F80" s="26">
        <f>IFERROR(Cashflow!K12,0)</f>
        <v>-1837</v>
      </c>
      <c r="G80" s="26">
        <f>IFERROR(Cashflow!L12,0)</f>
        <v>-2142</v>
      </c>
      <c r="H80" s="26">
        <f>IFERROR(Cashflow!M12,0)</f>
        <v>-2743</v>
      </c>
      <c r="I80" s="26">
        <f>IFERROR(Cashflow!N12,0)</f>
        <v>-3563</v>
      </c>
    </row>
    <row r="81" spans="2:9">
      <c r="B81" s="38" t="s">
        <v>134</v>
      </c>
      <c r="C81" s="26">
        <f>IFERROR(Cashflow!H13,0)</f>
        <v>80</v>
      </c>
      <c r="D81" s="26">
        <f>IFERROR(Cashflow!I13,0)</f>
        <v>28</v>
      </c>
      <c r="E81" s="26">
        <f>IFERROR(Cashflow!J13,0)</f>
        <v>27</v>
      </c>
      <c r="F81" s="26">
        <f>IFERROR(Cashflow!K13,0)</f>
        <v>3</v>
      </c>
      <c r="G81" s="26">
        <f>IFERROR(Cashflow!L13,0)</f>
        <v>133</v>
      </c>
      <c r="H81" s="26">
        <f>IFERROR(Cashflow!M13,0)</f>
        <v>49</v>
      </c>
      <c r="I81" s="26">
        <f>IFERROR(Cashflow!N13,0)</f>
        <v>107</v>
      </c>
    </row>
    <row r="82" spans="2:9">
      <c r="B82" s="38" t="s">
        <v>135</v>
      </c>
      <c r="C82" s="26">
        <f>IFERROR(Cashflow!H14,0)</f>
        <v>-98330</v>
      </c>
      <c r="D82" s="26">
        <f>IFERROR(Cashflow!I14,0)</f>
        <v>-94187</v>
      </c>
      <c r="E82" s="26">
        <f>IFERROR(Cashflow!J14,0)</f>
        <v>-79835</v>
      </c>
      <c r="F82" s="26">
        <f>IFERROR(Cashflow!K14,0)</f>
        <v>-57553</v>
      </c>
      <c r="G82" s="26">
        <f>IFERROR(Cashflow!L14,0)</f>
        <v>-69776</v>
      </c>
      <c r="H82" s="26">
        <f>IFERROR(Cashflow!M14,0)</f>
        <v>-80932</v>
      </c>
      <c r="I82" s="26">
        <f>IFERROR(Cashflow!N14,0)</f>
        <v>-75107</v>
      </c>
    </row>
    <row r="83" spans="2:9">
      <c r="B83" s="38" t="s">
        <v>136</v>
      </c>
      <c r="C83" s="26">
        <f>IFERROR(Cashflow!H15,0)</f>
        <v>95017</v>
      </c>
      <c r="D83" s="26">
        <f>IFERROR(Cashflow!I15,0)</f>
        <v>92454</v>
      </c>
      <c r="E83" s="26">
        <f>IFERROR(Cashflow!J15,0)</f>
        <v>75835</v>
      </c>
      <c r="F83" s="26">
        <f>IFERROR(Cashflow!K15,0)</f>
        <v>62797</v>
      </c>
      <c r="G83" s="26">
        <f>IFERROR(Cashflow!L15,0)</f>
        <v>70992</v>
      </c>
      <c r="H83" s="26">
        <f>IFERROR(Cashflow!M15,0)</f>
        <v>77230</v>
      </c>
      <c r="I83" s="26">
        <f>IFERROR(Cashflow!N15,0)</f>
        <v>77830</v>
      </c>
    </row>
    <row r="84" spans="2:9">
      <c r="B84" s="38" t="s">
        <v>137</v>
      </c>
      <c r="C84" s="26">
        <f>IFERROR(Cashflow!H16,0)</f>
        <v>736</v>
      </c>
      <c r="D84" s="26">
        <f>IFERROR(Cashflow!I16,0)</f>
        <v>1184</v>
      </c>
      <c r="E84" s="26">
        <f>IFERROR(Cashflow!J16,0)</f>
        <v>1513</v>
      </c>
      <c r="F84" s="26">
        <f>IFERROR(Cashflow!K16,0)</f>
        <v>1275</v>
      </c>
      <c r="G84" s="26">
        <f>IFERROR(Cashflow!L16,0)</f>
        <v>1035</v>
      </c>
      <c r="H84" s="26">
        <f>IFERROR(Cashflow!M16,0)</f>
        <v>1324</v>
      </c>
      <c r="I84" s="26">
        <f>IFERROR(Cashflow!N16,0)</f>
        <v>1138</v>
      </c>
    </row>
    <row r="85" spans="2:9">
      <c r="B85" s="38" t="s">
        <v>138</v>
      </c>
      <c r="C85" s="26">
        <f>IFERROR(Cashflow!H17,0)</f>
        <v>13</v>
      </c>
      <c r="D85" s="26">
        <f>IFERROR(Cashflow!I17,0)</f>
        <v>13</v>
      </c>
      <c r="E85" s="26">
        <f>IFERROR(Cashflow!J17,0)</f>
        <v>17</v>
      </c>
      <c r="F85" s="26">
        <f>IFERROR(Cashflow!K17,0)</f>
        <v>7</v>
      </c>
      <c r="G85" s="26">
        <f>IFERROR(Cashflow!L17,0)</f>
        <v>16</v>
      </c>
      <c r="H85" s="26">
        <f>IFERROR(Cashflow!M17,0)</f>
        <v>19</v>
      </c>
      <c r="I85" s="26">
        <f>IFERROR(Cashflow!N17,0)</f>
        <v>36</v>
      </c>
    </row>
    <row r="86" spans="2:9">
      <c r="B86" s="38" t="s">
        <v>139</v>
      </c>
      <c r="C86" s="26">
        <f>IFERROR(Cashflow!H18,0)</f>
        <v>0</v>
      </c>
      <c r="D86" s="26">
        <f>IFERROR(Cashflow!I18,0)</f>
        <v>0</v>
      </c>
      <c r="E86" s="26">
        <f>IFERROR(Cashflow!J18,0)</f>
        <v>0</v>
      </c>
      <c r="F86" s="26">
        <f>IFERROR(Cashflow!K18,0)</f>
        <v>0</v>
      </c>
      <c r="G86" s="26">
        <f>IFERROR(Cashflow!L18,0)</f>
        <v>0</v>
      </c>
      <c r="H86" s="26">
        <f>IFERROR(Cashflow!M18,0)</f>
        <v>0</v>
      </c>
      <c r="I86" s="26">
        <f>IFERROR(Cashflow!N18,0)</f>
        <v>0</v>
      </c>
    </row>
    <row r="87" spans="2:9">
      <c r="B87" s="38" t="s">
        <v>140</v>
      </c>
      <c r="C87" s="26">
        <f>IFERROR(Cashflow!H19,0)</f>
        <v>0</v>
      </c>
      <c r="D87" s="26">
        <f>IFERROR(Cashflow!I19,0)</f>
        <v>0</v>
      </c>
      <c r="E87" s="26">
        <f>IFERROR(Cashflow!J19,0)</f>
        <v>0</v>
      </c>
      <c r="F87" s="26">
        <f>IFERROR(Cashflow!K19,0)</f>
        <v>-2</v>
      </c>
      <c r="G87" s="26">
        <f>IFERROR(Cashflow!L19,0)</f>
        <v>-2</v>
      </c>
      <c r="H87" s="26">
        <f>IFERROR(Cashflow!M19,0)</f>
        <v>-2</v>
      </c>
      <c r="I87" s="26">
        <f>IFERROR(Cashflow!N19,0)</f>
        <v>-65</v>
      </c>
    </row>
    <row r="88" spans="2:9">
      <c r="B88" s="38" t="s">
        <v>141</v>
      </c>
      <c r="C88" s="26">
        <f>IFERROR(Cashflow!H20,0)</f>
        <v>18</v>
      </c>
      <c r="D88" s="26">
        <f>IFERROR(Cashflow!I20,0)</f>
        <v>18</v>
      </c>
      <c r="E88" s="26">
        <f>IFERROR(Cashflow!J20,0)</f>
        <v>0</v>
      </c>
      <c r="F88" s="26">
        <f>IFERROR(Cashflow!K20,0)</f>
        <v>0</v>
      </c>
      <c r="G88" s="26">
        <f>IFERROR(Cashflow!L20,0)</f>
        <v>0</v>
      </c>
      <c r="H88" s="26">
        <f>IFERROR(Cashflow!M20,0)</f>
        <v>56</v>
      </c>
      <c r="I88" s="26">
        <f>IFERROR(Cashflow!N20,0)</f>
        <v>0</v>
      </c>
    </row>
    <row r="89" spans="2:9">
      <c r="B89" s="38" t="s">
        <v>142</v>
      </c>
      <c r="C89" s="26">
        <f>IFERROR(Cashflow!H21,0)</f>
        <v>-1769</v>
      </c>
      <c r="D89" s="26">
        <f>IFERROR(Cashflow!I21,0)</f>
        <v>-1887</v>
      </c>
      <c r="E89" s="26">
        <f>IFERROR(Cashflow!J21,0)</f>
        <v>-1290</v>
      </c>
      <c r="F89" s="26">
        <f>IFERROR(Cashflow!K21,0)</f>
        <v>1051</v>
      </c>
      <c r="G89" s="26">
        <f>IFERROR(Cashflow!L21,0)</f>
        <v>-2494</v>
      </c>
      <c r="H89" s="26">
        <f>IFERROR(Cashflow!M21,0)</f>
        <v>-733</v>
      </c>
      <c r="I89" s="26">
        <f>IFERROR(Cashflow!N21,0)</f>
        <v>1187</v>
      </c>
    </row>
    <row r="90" spans="2:9" ht="14.65" thickBot="1">
      <c r="C90" s="26"/>
      <c r="D90" s="26"/>
      <c r="E90" s="26"/>
      <c r="F90" s="26"/>
      <c r="G90" s="26"/>
      <c r="H90" s="26"/>
      <c r="I90" s="26"/>
    </row>
    <row r="91" spans="2:9" ht="15" thickTop="1" thickBot="1">
      <c r="B91" s="34" t="s">
        <v>143</v>
      </c>
      <c r="C91" s="36">
        <f>SUM(C80:C90)</f>
        <v>-7113</v>
      </c>
      <c r="D91" s="36">
        <f t="shared" ref="D91:I91" si="47">SUM(D80:D90)</f>
        <v>-5546</v>
      </c>
      <c r="E91" s="36">
        <f t="shared" si="47"/>
        <v>-6174</v>
      </c>
      <c r="F91" s="36">
        <f t="shared" si="47"/>
        <v>5741</v>
      </c>
      <c r="G91" s="36">
        <f t="shared" si="47"/>
        <v>-2238</v>
      </c>
      <c r="H91" s="36">
        <f t="shared" si="47"/>
        <v>-5732</v>
      </c>
      <c r="I91" s="36">
        <f t="shared" si="47"/>
        <v>1563</v>
      </c>
    </row>
    <row r="92" spans="2:9" ht="14.65" thickTop="1"/>
    <row r="93" spans="2:9">
      <c r="B93" s="35" t="s">
        <v>144</v>
      </c>
    </row>
    <row r="94" spans="2:9">
      <c r="B94" s="38" t="s">
        <v>145</v>
      </c>
      <c r="C94" s="26">
        <f>IFERROR(Cashflow!H23,0)</f>
        <v>913</v>
      </c>
      <c r="D94" s="26">
        <f>IFERROR(Cashflow!I23,0)</f>
        <v>969</v>
      </c>
      <c r="E94" s="26">
        <f>IFERROR(Cashflow!J23,0)</f>
        <v>625</v>
      </c>
      <c r="F94" s="26">
        <f>IFERROR(Cashflow!K23,0)</f>
        <v>291</v>
      </c>
      <c r="G94" s="26">
        <f>IFERROR(Cashflow!L23,0)</f>
        <v>292</v>
      </c>
      <c r="H94" s="26">
        <f>IFERROR(Cashflow!M23,0)</f>
        <v>2477</v>
      </c>
      <c r="I94" s="26">
        <f>IFERROR(Cashflow!N23,0)</f>
        <v>1443</v>
      </c>
    </row>
    <row r="95" spans="2:9">
      <c r="B95" s="38" t="s">
        <v>146</v>
      </c>
      <c r="C95" s="26">
        <f>IFERROR(Cashflow!H24,0)</f>
        <v>11</v>
      </c>
      <c r="D95" s="26">
        <f>IFERROR(Cashflow!I24,0)</f>
        <v>0</v>
      </c>
      <c r="E95" s="26">
        <f>IFERROR(Cashflow!J24,0)</f>
        <v>0</v>
      </c>
      <c r="F95" s="26">
        <f>IFERROR(Cashflow!K24,0)</f>
        <v>0</v>
      </c>
      <c r="G95" s="26">
        <f>IFERROR(Cashflow!L24,0)</f>
        <v>0</v>
      </c>
      <c r="H95" s="26">
        <f>IFERROR(Cashflow!M24,0)</f>
        <v>0</v>
      </c>
      <c r="I95" s="26">
        <f>IFERROR(Cashflow!N24,0)</f>
        <v>8</v>
      </c>
    </row>
    <row r="96" spans="2:9">
      <c r="B96" s="38" t="s">
        <v>147</v>
      </c>
      <c r="C96" s="26">
        <f>IFERROR(Cashflow!H25,0)</f>
        <v>-8</v>
      </c>
      <c r="D96" s="26">
        <f>IFERROR(Cashflow!I25,0)</f>
        <v>-18</v>
      </c>
      <c r="E96" s="26">
        <f>IFERROR(Cashflow!J25,0)</f>
        <v>-3</v>
      </c>
      <c r="F96" s="26">
        <f>IFERROR(Cashflow!K25,0)</f>
        <v>-2</v>
      </c>
      <c r="G96" s="26">
        <f>IFERROR(Cashflow!L25,0)</f>
        <v>-1</v>
      </c>
      <c r="H96" s="26">
        <f>IFERROR(Cashflow!M25,0)</f>
        <v>-1</v>
      </c>
      <c r="I96" s="26">
        <f>IFERROR(Cashflow!N25,0)</f>
        <v>-2</v>
      </c>
    </row>
    <row r="97" spans="2:9">
      <c r="B97" s="38" t="s">
        <v>148</v>
      </c>
      <c r="C97" s="26">
        <f>IFERROR(Cashflow!H26,0)</f>
        <v>-49</v>
      </c>
      <c r="D97" s="26">
        <f>IFERROR(Cashflow!I26,0)</f>
        <v>-98</v>
      </c>
      <c r="E97" s="26">
        <f>IFERROR(Cashflow!J26,0)</f>
        <v>-44</v>
      </c>
      <c r="F97" s="26">
        <f>IFERROR(Cashflow!K26,0)</f>
        <v>-41</v>
      </c>
      <c r="G97" s="26">
        <f>IFERROR(Cashflow!L26,0)</f>
        <v>-40</v>
      </c>
      <c r="H97" s="26">
        <f>IFERROR(Cashflow!M26,0)</f>
        <v>-41</v>
      </c>
      <c r="I97" s="26">
        <f>IFERROR(Cashflow!N26,0)</f>
        <v>-46</v>
      </c>
    </row>
    <row r="98" spans="2:9">
      <c r="B98" s="38" t="s">
        <v>149</v>
      </c>
      <c r="C98" s="26">
        <f>IFERROR(Cashflow!H27,0)</f>
        <v>-5952</v>
      </c>
      <c r="D98" s="26">
        <f>IFERROR(Cashflow!I27,0)</f>
        <v>-6519</v>
      </c>
      <c r="E98" s="26">
        <f>IFERROR(Cashflow!J27,0)</f>
        <v>-7302</v>
      </c>
      <c r="F98" s="26">
        <f>IFERROR(Cashflow!K27,0)</f>
        <v>-18881</v>
      </c>
      <c r="G98" s="26">
        <f>IFERROR(Cashflow!L27,0)</f>
        <v>-13788</v>
      </c>
      <c r="H98" s="26">
        <f>IFERROR(Cashflow!M27,0)</f>
        <v>-15418</v>
      </c>
      <c r="I98" s="26">
        <f>IFERROR(Cashflow!N27,0)</f>
        <v>-19899</v>
      </c>
    </row>
    <row r="99" spans="2:9">
      <c r="B99" s="38" t="s">
        <v>150</v>
      </c>
      <c r="C99" s="26">
        <f>IFERROR(Cashflow!H28,0)</f>
        <v>0</v>
      </c>
      <c r="D99" s="26">
        <f>IFERROR(Cashflow!I28,0)</f>
        <v>0</v>
      </c>
      <c r="E99" s="26">
        <f>IFERROR(Cashflow!J28,0)</f>
        <v>-49</v>
      </c>
      <c r="F99" s="26">
        <f>IFERROR(Cashflow!K28,0)</f>
        <v>-55</v>
      </c>
      <c r="G99" s="26">
        <f>IFERROR(Cashflow!L28,0)</f>
        <v>-59</v>
      </c>
      <c r="H99" s="26">
        <f>IFERROR(Cashflow!M28,0)</f>
        <v>-59</v>
      </c>
      <c r="I99" s="26">
        <f>IFERROR(Cashflow!N28,0)</f>
        <v>-67</v>
      </c>
    </row>
    <row r="100" spans="2:9" ht="19.899999999999999" customHeight="1" thickBot="1">
      <c r="B100" s="38" t="s">
        <v>151</v>
      </c>
      <c r="C100" s="26">
        <f>IFERROR(Cashflow!H29,0)</f>
        <v>-1136</v>
      </c>
      <c r="D100" s="26">
        <f>IFERROR(Cashflow!I29,0)</f>
        <v>-1203</v>
      </c>
      <c r="E100" s="26">
        <f>IFERROR(Cashflow!J29,0)</f>
        <v>-1409</v>
      </c>
      <c r="F100" s="26">
        <f>IFERROR(Cashflow!K29,0)</f>
        <v>55</v>
      </c>
      <c r="G100" s="26">
        <f>IFERROR(Cashflow!L29,0)</f>
        <v>15</v>
      </c>
      <c r="H100" s="26">
        <f>IFERROR(Cashflow!M29,0)</f>
        <v>35</v>
      </c>
      <c r="I100" s="26">
        <f>IFERROR(Cashflow!N29,0)</f>
        <v>12</v>
      </c>
    </row>
    <row r="101" spans="2:9" ht="15" thickTop="1" thickBot="1">
      <c r="B101" s="34" t="s">
        <v>152</v>
      </c>
      <c r="C101" s="36">
        <f>SUM(C94:C100)</f>
        <v>-6221</v>
      </c>
      <c r="D101" s="36">
        <f>SUM(D94:D100)</f>
        <v>-6869</v>
      </c>
      <c r="E101" s="36">
        <f>SUM(E94:E100)</f>
        <v>-8182</v>
      </c>
      <c r="F101" s="36">
        <f>SUM(F94:F100)</f>
        <v>-18633</v>
      </c>
      <c r="G101" s="36">
        <f>SUM(G94:G100)</f>
        <v>-13581</v>
      </c>
      <c r="H101" s="36">
        <f>SUM(H94:H100)</f>
        <v>-13007</v>
      </c>
      <c r="I101" s="36">
        <f>SUM(I94:I100)</f>
        <v>-18551</v>
      </c>
    </row>
    <row r="102" spans="2:9" ht="15" thickTop="1" thickBot="1">
      <c r="C102" s="26"/>
      <c r="D102" s="26"/>
      <c r="E102" s="26"/>
      <c r="F102" s="26"/>
      <c r="G102" s="26"/>
      <c r="H102" s="26"/>
      <c r="I102" s="26"/>
    </row>
    <row r="103" spans="2:9" ht="15" thickTop="1" thickBot="1">
      <c r="B103" s="34" t="s">
        <v>49</v>
      </c>
      <c r="C103" s="36">
        <f>SUM(C101,C91,C77)</f>
        <v>-165</v>
      </c>
      <c r="D103" s="36">
        <f>SUM(D101,D91,D77)</f>
        <v>-307</v>
      </c>
      <c r="E103" s="36">
        <f>SUM(E101,E91,E77)</f>
        <v>629</v>
      </c>
      <c r="F103" s="36">
        <f>SUM(F101,F91,F77)</f>
        <v>-780</v>
      </c>
      <c r="G103" s="36">
        <f>SUM(G101,G91,G77)</f>
        <v>-143</v>
      </c>
      <c r="H103" s="36">
        <f>SUM(H101,H91,H77)</f>
        <v>-785</v>
      </c>
      <c r="I103" s="36">
        <f>SUM(I101,I91,I77)</f>
        <v>-3148</v>
      </c>
    </row>
    <row r="104" spans="2:9" ht="14.65" thickTop="1"/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FC64-0553-4F59-92D5-3C3E0243C8A3}">
  <dimension ref="A1:N37"/>
  <sheetViews>
    <sheetView topLeftCell="A13" zoomScale="160" zoomScaleNormal="160" workbookViewId="0">
      <selection activeCell="H10" sqref="H10"/>
    </sheetView>
  </sheetViews>
  <sheetFormatPr defaultRowHeight="14.25"/>
  <cols>
    <col min="2" max="2" width="37.85546875" customWidth="1"/>
    <col min="3" max="7" width="12.85546875" hidden="1" customWidth="1"/>
    <col min="8" max="14" width="12.85546875" bestFit="1" customWidth="1"/>
  </cols>
  <sheetData>
    <row r="1" spans="1:14">
      <c r="G1" s="27">
        <f>SUM(G4:G10)</f>
        <v>10671</v>
      </c>
    </row>
    <row r="2" spans="1:14">
      <c r="C2" s="43">
        <v>41334</v>
      </c>
      <c r="D2" s="43">
        <v>41699</v>
      </c>
      <c r="E2" s="43">
        <v>42064</v>
      </c>
      <c r="F2" s="43">
        <v>42430</v>
      </c>
      <c r="G2" s="43">
        <v>42795</v>
      </c>
      <c r="H2" s="43">
        <v>43160</v>
      </c>
      <c r="I2" s="43">
        <v>43525</v>
      </c>
      <c r="J2" s="43">
        <v>43891</v>
      </c>
      <c r="K2" s="43">
        <v>44256</v>
      </c>
      <c r="L2" s="43">
        <v>44621</v>
      </c>
      <c r="M2" s="43">
        <v>44986</v>
      </c>
      <c r="N2" s="43">
        <v>45352</v>
      </c>
    </row>
    <row r="3" spans="1:14">
      <c r="B3" s="38" t="s">
        <v>153</v>
      </c>
      <c r="C3" s="37">
        <v>7102</v>
      </c>
      <c r="D3" s="37">
        <v>7344</v>
      </c>
      <c r="E3" s="37">
        <v>9843</v>
      </c>
      <c r="F3" s="37">
        <v>9799</v>
      </c>
      <c r="G3" s="37">
        <v>10627</v>
      </c>
      <c r="H3" s="37">
        <v>13169</v>
      </c>
      <c r="I3" s="37">
        <v>12583</v>
      </c>
      <c r="J3" s="37">
        <v>14690</v>
      </c>
      <c r="K3" s="37">
        <v>12527</v>
      </c>
      <c r="L3" s="37">
        <v>15776</v>
      </c>
      <c r="M3" s="37">
        <v>18878</v>
      </c>
      <c r="N3" s="37">
        <v>17179</v>
      </c>
    </row>
    <row r="4" spans="1:14">
      <c r="A4" s="27"/>
      <c r="B4" s="38" t="s">
        <v>125</v>
      </c>
      <c r="C4" s="37">
        <v>11218</v>
      </c>
      <c r="D4" s="37">
        <v>13172</v>
      </c>
      <c r="E4" s="37">
        <v>14261</v>
      </c>
      <c r="F4" s="37">
        <v>15154</v>
      </c>
      <c r="G4" s="37">
        <v>16075</v>
      </c>
      <c r="H4" s="37">
        <v>17433</v>
      </c>
      <c r="I4" s="37">
        <v>18862</v>
      </c>
      <c r="J4" s="37">
        <v>19416</v>
      </c>
      <c r="K4" s="37">
        <v>17326</v>
      </c>
      <c r="L4" s="37">
        <v>20857</v>
      </c>
      <c r="M4" s="37">
        <v>26052</v>
      </c>
      <c r="N4" s="37">
        <v>26635</v>
      </c>
    </row>
    <row r="5" spans="1:14">
      <c r="B5" s="38" t="s">
        <v>83</v>
      </c>
      <c r="C5" s="39">
        <v>-446</v>
      </c>
      <c r="D5" s="37">
        <v>-1546</v>
      </c>
      <c r="E5" s="39">
        <v>558</v>
      </c>
      <c r="F5" s="39">
        <v>-207</v>
      </c>
      <c r="G5" s="39">
        <v>-870</v>
      </c>
      <c r="H5" s="39">
        <v>-964</v>
      </c>
      <c r="I5" s="39">
        <v>-755</v>
      </c>
      <c r="J5" s="37">
        <v>1411</v>
      </c>
      <c r="K5" s="39">
        <v>-66</v>
      </c>
      <c r="L5" s="39">
        <v>-732</v>
      </c>
      <c r="M5" s="39">
        <v>-884</v>
      </c>
      <c r="N5" s="39">
        <v>-934</v>
      </c>
    </row>
    <row r="6" spans="1:14">
      <c r="B6" s="38" t="s">
        <v>41</v>
      </c>
      <c r="C6" s="39">
        <v>-985</v>
      </c>
      <c r="D6" s="39">
        <v>-755</v>
      </c>
      <c r="E6" s="39">
        <v>-505</v>
      </c>
      <c r="F6" s="39">
        <v>-693</v>
      </c>
      <c r="G6" s="39">
        <v>593</v>
      </c>
      <c r="H6" s="39">
        <v>602</v>
      </c>
      <c r="I6" s="39">
        <v>-359</v>
      </c>
      <c r="J6" s="39">
        <v>-508</v>
      </c>
      <c r="K6" s="37">
        <v>-1460</v>
      </c>
      <c r="L6" s="39">
        <v>-466</v>
      </c>
      <c r="M6" s="37">
        <v>-1098</v>
      </c>
      <c r="N6" s="37">
        <v>-2545</v>
      </c>
    </row>
    <row r="7" spans="1:14">
      <c r="B7" s="38" t="s">
        <v>126</v>
      </c>
      <c r="C7" s="39">
        <v>0</v>
      </c>
      <c r="D7" s="39">
        <v>456</v>
      </c>
      <c r="E7" s="39">
        <v>-23</v>
      </c>
      <c r="F7" s="39">
        <v>622</v>
      </c>
      <c r="G7" s="39">
        <v>321</v>
      </c>
      <c r="H7" s="37">
        <v>2098</v>
      </c>
      <c r="I7" s="39">
        <v>639</v>
      </c>
      <c r="J7" s="39">
        <v>-607</v>
      </c>
      <c r="K7" s="37">
        <v>1112</v>
      </c>
      <c r="L7" s="37">
        <v>1099</v>
      </c>
      <c r="M7" s="37">
        <v>1058</v>
      </c>
      <c r="N7" s="39">
        <v>141</v>
      </c>
    </row>
    <row r="8" spans="1:14">
      <c r="B8" s="38" t="s">
        <v>128</v>
      </c>
      <c r="C8" s="39">
        <v>331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</row>
    <row r="9" spans="1:14">
      <c r="B9" s="38" t="s">
        <v>129</v>
      </c>
      <c r="C9" s="37">
        <v>-1101</v>
      </c>
      <c r="D9" s="37">
        <v>-1844</v>
      </c>
      <c r="E9" s="39">
        <v>31</v>
      </c>
      <c r="F9" s="39">
        <v>-277</v>
      </c>
      <c r="G9" s="39">
        <v>44</v>
      </c>
      <c r="H9" s="37">
        <v>1736</v>
      </c>
      <c r="I9" s="39">
        <v>-476</v>
      </c>
      <c r="J9" s="39">
        <v>296</v>
      </c>
      <c r="K9" s="39">
        <v>-413</v>
      </c>
      <c r="L9" s="39">
        <v>-100</v>
      </c>
      <c r="M9" s="39">
        <v>-924</v>
      </c>
      <c r="N9" s="37">
        <v>-3337</v>
      </c>
    </row>
    <row r="10" spans="1:14">
      <c r="B10" s="38" t="s">
        <v>130</v>
      </c>
      <c r="C10" s="37">
        <v>-3015</v>
      </c>
      <c r="D10" s="37">
        <v>-3984</v>
      </c>
      <c r="E10" s="37">
        <v>-4449</v>
      </c>
      <c r="F10" s="37">
        <v>-5078</v>
      </c>
      <c r="G10" s="37">
        <v>-5492</v>
      </c>
      <c r="H10" s="37">
        <v>-6000</v>
      </c>
      <c r="I10" s="37">
        <v>-5803</v>
      </c>
      <c r="J10" s="37">
        <v>-5023</v>
      </c>
      <c r="K10" s="37">
        <v>-4387</v>
      </c>
      <c r="L10" s="37">
        <v>-4982</v>
      </c>
      <c r="M10" s="37">
        <v>-6250</v>
      </c>
      <c r="N10" s="37">
        <v>-6120</v>
      </c>
    </row>
    <row r="11" spans="1:14">
      <c r="A11" s="27"/>
      <c r="B11" s="38" t="s">
        <v>154</v>
      </c>
      <c r="C11" s="37">
        <v>-3881</v>
      </c>
      <c r="D11" s="37">
        <v>-3254</v>
      </c>
      <c r="E11" s="37">
        <v>-5275</v>
      </c>
      <c r="F11" s="37">
        <v>-3921</v>
      </c>
      <c r="G11" s="37">
        <v>-3251</v>
      </c>
      <c r="H11" s="37">
        <v>-7114</v>
      </c>
      <c r="I11" s="37">
        <v>-5546</v>
      </c>
      <c r="J11" s="37">
        <v>-6174</v>
      </c>
      <c r="K11" s="37">
        <v>5740</v>
      </c>
      <c r="L11" s="37">
        <v>-2238</v>
      </c>
      <c r="M11" s="37">
        <v>-5732</v>
      </c>
      <c r="N11" s="37">
        <v>1563</v>
      </c>
    </row>
    <row r="12" spans="1:14">
      <c r="B12" s="38" t="s">
        <v>133</v>
      </c>
      <c r="C12" s="37">
        <v>-2644</v>
      </c>
      <c r="D12" s="37">
        <v>-2887</v>
      </c>
      <c r="E12" s="37">
        <v>-3300</v>
      </c>
      <c r="F12" s="37">
        <v>-2348</v>
      </c>
      <c r="G12" s="37">
        <v>-3122</v>
      </c>
      <c r="H12" s="37">
        <v>-2878</v>
      </c>
      <c r="I12" s="37">
        <v>-3169</v>
      </c>
      <c r="J12" s="37">
        <v>-2441</v>
      </c>
      <c r="K12" s="37">
        <v>-1837</v>
      </c>
      <c r="L12" s="37">
        <v>-2142</v>
      </c>
      <c r="M12" s="37">
        <v>-2743</v>
      </c>
      <c r="N12" s="37">
        <v>-3563</v>
      </c>
    </row>
    <row r="13" spans="1:14">
      <c r="B13" s="38" t="s">
        <v>134</v>
      </c>
      <c r="C13" s="39">
        <v>10</v>
      </c>
      <c r="D13" s="39">
        <v>38</v>
      </c>
      <c r="E13" s="39">
        <v>9</v>
      </c>
      <c r="F13" s="39">
        <v>8</v>
      </c>
      <c r="G13" s="39">
        <v>50</v>
      </c>
      <c r="H13" s="39">
        <v>80</v>
      </c>
      <c r="I13" s="39">
        <v>28</v>
      </c>
      <c r="J13" s="39">
        <v>27</v>
      </c>
      <c r="K13" s="39">
        <v>3</v>
      </c>
      <c r="L13" s="39">
        <v>133</v>
      </c>
      <c r="M13" s="39">
        <v>49</v>
      </c>
      <c r="N13" s="39">
        <v>107</v>
      </c>
    </row>
    <row r="14" spans="1:14">
      <c r="B14" s="38" t="s">
        <v>135</v>
      </c>
      <c r="C14" s="37">
        <v>-75713</v>
      </c>
      <c r="D14" s="37">
        <v>-94242</v>
      </c>
      <c r="E14" s="37">
        <v>-98742</v>
      </c>
      <c r="F14" s="37">
        <v>-154081</v>
      </c>
      <c r="G14" s="37">
        <v>-85683</v>
      </c>
      <c r="H14" s="37">
        <v>-98330</v>
      </c>
      <c r="I14" s="37">
        <v>-94187</v>
      </c>
      <c r="J14" s="37">
        <v>-79835</v>
      </c>
      <c r="K14" s="37">
        <v>-57553</v>
      </c>
      <c r="L14" s="37">
        <v>-69776</v>
      </c>
      <c r="M14" s="37">
        <v>-80932</v>
      </c>
      <c r="N14" s="37">
        <v>-75107</v>
      </c>
    </row>
    <row r="15" spans="1:14">
      <c r="B15" s="38" t="s">
        <v>136</v>
      </c>
      <c r="C15" s="37">
        <v>75152</v>
      </c>
      <c r="D15" s="37">
        <v>93293</v>
      </c>
      <c r="E15" s="37">
        <v>99658</v>
      </c>
      <c r="F15" s="37">
        <v>150651</v>
      </c>
      <c r="G15" s="37">
        <v>81034</v>
      </c>
      <c r="H15" s="37">
        <v>95017</v>
      </c>
      <c r="I15" s="37">
        <v>92454</v>
      </c>
      <c r="J15" s="37">
        <v>75835</v>
      </c>
      <c r="K15" s="37">
        <v>62797</v>
      </c>
      <c r="L15" s="37">
        <v>70992</v>
      </c>
      <c r="M15" s="37">
        <v>77230</v>
      </c>
      <c r="N15" s="37">
        <v>77830</v>
      </c>
    </row>
    <row r="16" spans="1:14">
      <c r="B16" s="38" t="s">
        <v>137</v>
      </c>
      <c r="C16" s="39">
        <v>265</v>
      </c>
      <c r="D16" s="39">
        <v>374</v>
      </c>
      <c r="E16" s="39">
        <v>559</v>
      </c>
      <c r="F16" s="39">
        <v>741</v>
      </c>
      <c r="G16" s="39">
        <v>756</v>
      </c>
      <c r="H16" s="39">
        <v>736</v>
      </c>
      <c r="I16" s="37">
        <v>1184</v>
      </c>
      <c r="J16" s="37">
        <v>1513</v>
      </c>
      <c r="K16" s="37">
        <v>1275</v>
      </c>
      <c r="L16" s="37">
        <v>1035</v>
      </c>
      <c r="M16" s="37">
        <v>1324</v>
      </c>
      <c r="N16" s="37">
        <v>1138</v>
      </c>
    </row>
    <row r="17" spans="1:14">
      <c r="B17" s="38" t="s">
        <v>138</v>
      </c>
      <c r="C17" s="39">
        <v>249</v>
      </c>
      <c r="D17" s="39">
        <v>192</v>
      </c>
      <c r="E17" s="39">
        <v>268</v>
      </c>
      <c r="F17" s="39">
        <v>64</v>
      </c>
      <c r="G17" s="39">
        <v>4</v>
      </c>
      <c r="H17" s="39">
        <v>13</v>
      </c>
      <c r="I17" s="39">
        <v>13</v>
      </c>
      <c r="J17" s="39">
        <v>17</v>
      </c>
      <c r="K17" s="39">
        <v>7</v>
      </c>
      <c r="L17" s="39">
        <v>16</v>
      </c>
      <c r="M17" s="39">
        <v>19</v>
      </c>
      <c r="N17" s="39">
        <v>36</v>
      </c>
    </row>
    <row r="18" spans="1:14">
      <c r="B18" s="38" t="s">
        <v>139</v>
      </c>
      <c r="C18" s="39">
        <v>0</v>
      </c>
      <c r="D18" s="39">
        <v>0</v>
      </c>
      <c r="E18" s="39">
        <v>0</v>
      </c>
      <c r="F18" s="39">
        <v>-8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</row>
    <row r="19" spans="1:14">
      <c r="B19" s="38" t="s">
        <v>140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-2</v>
      </c>
      <c r="L19" s="39">
        <v>-2</v>
      </c>
      <c r="M19" s="39">
        <v>-2</v>
      </c>
      <c r="N19" s="39">
        <v>-65</v>
      </c>
    </row>
    <row r="20" spans="1:14">
      <c r="B20" s="38" t="s">
        <v>141</v>
      </c>
      <c r="C20" s="39">
        <v>0</v>
      </c>
      <c r="D20" s="39">
        <v>0</v>
      </c>
      <c r="E20" s="39">
        <v>0</v>
      </c>
      <c r="F20" s="39">
        <v>0</v>
      </c>
      <c r="G20" s="39">
        <v>129</v>
      </c>
      <c r="H20" s="39">
        <v>18</v>
      </c>
      <c r="I20" s="39">
        <v>18</v>
      </c>
      <c r="J20" s="39">
        <v>0</v>
      </c>
      <c r="K20" s="39">
        <v>0</v>
      </c>
      <c r="L20" s="39">
        <v>0</v>
      </c>
      <c r="M20" s="39">
        <v>56</v>
      </c>
      <c r="N20" s="39">
        <v>0</v>
      </c>
    </row>
    <row r="21" spans="1:14">
      <c r="B21" s="38" t="s">
        <v>142</v>
      </c>
      <c r="C21" s="37">
        <v>-1200</v>
      </c>
      <c r="D21" s="39">
        <v>-21</v>
      </c>
      <c r="E21" s="37">
        <v>-3728</v>
      </c>
      <c r="F21" s="37">
        <v>1052</v>
      </c>
      <c r="G21" s="37">
        <v>3579</v>
      </c>
      <c r="H21" s="37">
        <v>-1769</v>
      </c>
      <c r="I21" s="37">
        <v>-1887</v>
      </c>
      <c r="J21" s="37">
        <v>-1290</v>
      </c>
      <c r="K21" s="37">
        <v>1051</v>
      </c>
      <c r="L21" s="37">
        <v>-2494</v>
      </c>
      <c r="M21" s="39">
        <v>-733</v>
      </c>
      <c r="N21" s="37">
        <v>1187</v>
      </c>
    </row>
    <row r="22" spans="1:14">
      <c r="A22" s="27"/>
      <c r="B22" s="38" t="s">
        <v>155</v>
      </c>
      <c r="C22" s="37">
        <v>-3310</v>
      </c>
      <c r="D22" s="37">
        <v>-4122</v>
      </c>
      <c r="E22" s="37">
        <v>-4661</v>
      </c>
      <c r="F22" s="37">
        <v>-5613</v>
      </c>
      <c r="G22" s="37">
        <v>-7301</v>
      </c>
      <c r="H22" s="37">
        <v>-6221</v>
      </c>
      <c r="I22" s="37">
        <v>-6869</v>
      </c>
      <c r="J22" s="37">
        <v>-8181</v>
      </c>
      <c r="K22" s="37">
        <v>-18634</v>
      </c>
      <c r="L22" s="37">
        <v>-13580</v>
      </c>
      <c r="M22" s="37">
        <v>-13006</v>
      </c>
      <c r="N22" s="37">
        <v>-18551</v>
      </c>
    </row>
    <row r="23" spans="1:14">
      <c r="B23" s="38" t="s">
        <v>145</v>
      </c>
      <c r="C23" s="39">
        <v>922</v>
      </c>
      <c r="D23" s="39">
        <v>691</v>
      </c>
      <c r="E23" s="39">
        <v>979</v>
      </c>
      <c r="F23" s="39">
        <v>532</v>
      </c>
      <c r="G23" s="37">
        <v>1067</v>
      </c>
      <c r="H23" s="39">
        <v>913</v>
      </c>
      <c r="I23" s="39">
        <v>969</v>
      </c>
      <c r="J23" s="39">
        <v>625</v>
      </c>
      <c r="K23" s="39">
        <v>291</v>
      </c>
      <c r="L23" s="39">
        <v>292</v>
      </c>
      <c r="M23" s="37">
        <v>2477</v>
      </c>
      <c r="N23" s="37">
        <v>1443</v>
      </c>
    </row>
    <row r="24" spans="1:14">
      <c r="B24" s="38" t="s">
        <v>146</v>
      </c>
      <c r="C24" s="39">
        <v>-2</v>
      </c>
      <c r="D24" s="39">
        <v>156</v>
      </c>
      <c r="E24" s="39">
        <v>7</v>
      </c>
      <c r="F24" s="39">
        <v>0</v>
      </c>
      <c r="G24" s="39">
        <v>0</v>
      </c>
      <c r="H24" s="39">
        <v>11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8</v>
      </c>
    </row>
    <row r="25" spans="1:14">
      <c r="B25" s="38" t="s">
        <v>147</v>
      </c>
      <c r="C25" s="39">
        <v>-12</v>
      </c>
      <c r="D25" s="39">
        <v>-15</v>
      </c>
      <c r="E25" s="39">
        <v>-20</v>
      </c>
      <c r="F25" s="39">
        <v>-13</v>
      </c>
      <c r="G25" s="39">
        <v>-13</v>
      </c>
      <c r="H25" s="39">
        <v>-8</v>
      </c>
      <c r="I25" s="39">
        <v>-18</v>
      </c>
      <c r="J25" s="39">
        <v>-3</v>
      </c>
      <c r="K25" s="39">
        <v>-2</v>
      </c>
      <c r="L25" s="39">
        <v>-1</v>
      </c>
      <c r="M25" s="39">
        <v>-1</v>
      </c>
      <c r="N25" s="39">
        <v>-2</v>
      </c>
    </row>
    <row r="26" spans="1:14">
      <c r="B26" s="38" t="s">
        <v>148</v>
      </c>
      <c r="C26" s="39">
        <v>-71</v>
      </c>
      <c r="D26" s="39">
        <v>-48</v>
      </c>
      <c r="E26" s="39">
        <v>-16</v>
      </c>
      <c r="F26" s="39">
        <v>-28</v>
      </c>
      <c r="G26" s="39">
        <v>-25</v>
      </c>
      <c r="H26" s="39">
        <v>-49</v>
      </c>
      <c r="I26" s="39">
        <v>-98</v>
      </c>
      <c r="J26" s="39">
        <v>-44</v>
      </c>
      <c r="K26" s="39">
        <v>-41</v>
      </c>
      <c r="L26" s="39">
        <v>-40</v>
      </c>
      <c r="M26" s="39">
        <v>-41</v>
      </c>
      <c r="N26" s="39">
        <v>-46</v>
      </c>
    </row>
    <row r="27" spans="1:14">
      <c r="B27" s="38" t="s">
        <v>149</v>
      </c>
      <c r="C27" s="37">
        <v>-3592</v>
      </c>
      <c r="D27" s="37">
        <v>-4239</v>
      </c>
      <c r="E27" s="37">
        <v>-4876</v>
      </c>
      <c r="F27" s="37">
        <v>-5133</v>
      </c>
      <c r="G27" s="37">
        <v>-6994</v>
      </c>
      <c r="H27" s="37">
        <v>-5952</v>
      </c>
      <c r="I27" s="37">
        <v>-6519</v>
      </c>
      <c r="J27" s="37">
        <v>-7302</v>
      </c>
      <c r="K27" s="37">
        <v>-18881</v>
      </c>
      <c r="L27" s="37">
        <v>-13788</v>
      </c>
      <c r="M27" s="37">
        <v>-15418</v>
      </c>
      <c r="N27" s="37">
        <v>-19899</v>
      </c>
    </row>
    <row r="28" spans="1:14">
      <c r="B28" s="38" t="s">
        <v>150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-49</v>
      </c>
      <c r="K28" s="39">
        <v>-55</v>
      </c>
      <c r="L28" s="39">
        <v>-59</v>
      </c>
      <c r="M28" s="39">
        <v>-59</v>
      </c>
      <c r="N28" s="39">
        <v>-67</v>
      </c>
    </row>
    <row r="29" spans="1:14">
      <c r="B29" s="38" t="s">
        <v>151</v>
      </c>
      <c r="C29" s="39">
        <v>-556</v>
      </c>
      <c r="D29" s="39">
        <v>-667</v>
      </c>
      <c r="E29" s="39">
        <v>-734</v>
      </c>
      <c r="F29" s="39">
        <v>-971</v>
      </c>
      <c r="G29" s="37">
        <v>-1335</v>
      </c>
      <c r="H29" s="37">
        <v>-1136</v>
      </c>
      <c r="I29" s="37">
        <v>-1203</v>
      </c>
      <c r="J29" s="37">
        <v>-1409</v>
      </c>
      <c r="K29" s="39">
        <v>55</v>
      </c>
      <c r="L29" s="39">
        <v>15</v>
      </c>
      <c r="M29" s="39">
        <v>35</v>
      </c>
      <c r="N29" s="39">
        <v>12</v>
      </c>
    </row>
    <row r="30" spans="1:14">
      <c r="B30" s="38" t="s">
        <v>49</v>
      </c>
      <c r="C30" s="39">
        <v>-90</v>
      </c>
      <c r="D30" s="39">
        <v>-32</v>
      </c>
      <c r="E30" s="39">
        <v>-93</v>
      </c>
      <c r="F30" s="39">
        <v>266</v>
      </c>
      <c r="G30" s="39">
        <v>75</v>
      </c>
      <c r="H30" s="39">
        <v>-166</v>
      </c>
      <c r="I30" s="39">
        <v>169</v>
      </c>
      <c r="J30" s="39">
        <v>334</v>
      </c>
      <c r="K30" s="39">
        <v>-367</v>
      </c>
      <c r="L30" s="39">
        <v>-43</v>
      </c>
      <c r="M30" s="39">
        <v>139</v>
      </c>
      <c r="N30" s="39">
        <v>191</v>
      </c>
    </row>
    <row r="31" spans="1:14">
      <c r="G31" s="27"/>
      <c r="H31" s="27"/>
      <c r="I31" s="27"/>
      <c r="J31" s="27"/>
      <c r="K31" s="27"/>
      <c r="L31" s="27"/>
      <c r="M31" s="27"/>
      <c r="N31" s="27"/>
    </row>
    <row r="32" spans="1:14">
      <c r="G32" s="27"/>
      <c r="H32" s="27"/>
      <c r="I32" s="27"/>
      <c r="J32" s="27"/>
      <c r="K32" s="27"/>
      <c r="L32" s="27"/>
      <c r="M32" s="27"/>
      <c r="N32" s="27"/>
    </row>
    <row r="33" spans="2:14">
      <c r="N33" s="27"/>
    </row>
    <row r="34" spans="2:14">
      <c r="J34" s="27"/>
      <c r="K34" s="27"/>
      <c r="L34" s="27"/>
      <c r="M34" s="27"/>
      <c r="N34" s="27"/>
    </row>
    <row r="35" spans="2:14">
      <c r="L35" s="27"/>
      <c r="M35" s="27"/>
      <c r="N35" s="27"/>
    </row>
    <row r="36" spans="2:14">
      <c r="B36" s="2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2:14">
      <c r="C37" s="27"/>
      <c r="D37" s="27"/>
      <c r="E37" s="27"/>
      <c r="F37" s="27"/>
      <c r="G37" s="27"/>
      <c r="I37" s="27"/>
      <c r="J37" s="27"/>
      <c r="K37" s="27"/>
      <c r="L37" s="27"/>
      <c r="M37" s="27"/>
      <c r="N3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Pratyush</dc:creator>
  <cp:keywords/>
  <dc:description/>
  <cp:lastModifiedBy>Gaurav Agarwal</cp:lastModifiedBy>
  <cp:revision/>
  <dcterms:created xsi:type="dcterms:W3CDTF">2012-08-17T09:55:37Z</dcterms:created>
  <dcterms:modified xsi:type="dcterms:W3CDTF">2024-09-19T14:34:15Z</dcterms:modified>
  <cp:category/>
  <cp:contentStatus/>
</cp:coreProperties>
</file>