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62d5ce3eedc922/Documents/"/>
    </mc:Choice>
  </mc:AlternateContent>
  <xr:revisionPtr revIDLastSave="2" documentId="8_{D0298AFC-860B-470F-9333-CE4881BCBBAE}" xr6:coauthVersionLast="47" xr6:coauthVersionMax="47" xr10:uidLastSave="{FB1794AA-33D0-425F-BB69-D2B3F53DCFFA}"/>
  <bookViews>
    <workbookView xWindow="-98" yWindow="-98" windowWidth="21795" windowHeight="13695" firstSheet="1" activeTab="7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  <sheet name="Financials" sheetId="7" r:id="rId7"/>
    <sheet name="HistoricalFS" sheetId="8" r:id="rId8"/>
    <sheet name="Cashflow" sheetId="11" r:id="rId9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2" i="8" l="1"/>
  <c r="I104" i="8" s="1"/>
  <c r="H102" i="8"/>
  <c r="H104" i="8" s="1"/>
  <c r="G102" i="8"/>
  <c r="G104" i="8" s="1"/>
  <c r="F102" i="8"/>
  <c r="F104" i="8" s="1"/>
  <c r="E102" i="8"/>
  <c r="E104" i="8" s="1"/>
  <c r="D102" i="8"/>
  <c r="D104" i="8" s="1"/>
  <c r="C102" i="8"/>
  <c r="C104" i="8" s="1"/>
  <c r="I101" i="8"/>
  <c r="H101" i="8"/>
  <c r="G101" i="8"/>
  <c r="F101" i="8"/>
  <c r="E101" i="8"/>
  <c r="D101" i="8"/>
  <c r="C101" i="8"/>
  <c r="I100" i="8"/>
  <c r="H100" i="8"/>
  <c r="G100" i="8"/>
  <c r="F100" i="8"/>
  <c r="E100" i="8"/>
  <c r="D100" i="8"/>
  <c r="C100" i="8"/>
  <c r="I99" i="8"/>
  <c r="H99" i="8"/>
  <c r="G99" i="8"/>
  <c r="F99" i="8"/>
  <c r="E99" i="8"/>
  <c r="D99" i="8"/>
  <c r="C99" i="8"/>
  <c r="I98" i="8"/>
  <c r="H98" i="8"/>
  <c r="G98" i="8"/>
  <c r="F98" i="8"/>
  <c r="E98" i="8"/>
  <c r="D98" i="8"/>
  <c r="C98" i="8"/>
  <c r="I97" i="8"/>
  <c r="H97" i="8"/>
  <c r="G97" i="8"/>
  <c r="F97" i="8"/>
  <c r="E97" i="8"/>
  <c r="D97" i="8"/>
  <c r="C97" i="8"/>
  <c r="I96" i="8"/>
  <c r="H96" i="8"/>
  <c r="G96" i="8"/>
  <c r="F96" i="8"/>
  <c r="E96" i="8"/>
  <c r="D96" i="8"/>
  <c r="C96" i="8"/>
  <c r="I95" i="8"/>
  <c r="H95" i="8"/>
  <c r="G95" i="8"/>
  <c r="F95" i="8"/>
  <c r="E95" i="8"/>
  <c r="D95" i="8"/>
  <c r="C95" i="8"/>
  <c r="I94" i="8"/>
  <c r="H94" i="8"/>
  <c r="G94" i="8"/>
  <c r="F94" i="8"/>
  <c r="E94" i="8"/>
  <c r="D94" i="8"/>
  <c r="C94" i="8"/>
  <c r="I91" i="8"/>
  <c r="H91" i="8"/>
  <c r="G91" i="8"/>
  <c r="F91" i="8"/>
  <c r="E91" i="8"/>
  <c r="D91" i="8"/>
  <c r="C91" i="8"/>
  <c r="I90" i="8"/>
  <c r="H90" i="8"/>
  <c r="G90" i="8"/>
  <c r="F90" i="8"/>
  <c r="E90" i="8"/>
  <c r="D90" i="8"/>
  <c r="C90" i="8"/>
  <c r="I89" i="8"/>
  <c r="H89" i="8"/>
  <c r="G89" i="8"/>
  <c r="F89" i="8"/>
  <c r="E89" i="8"/>
  <c r="D89" i="8"/>
  <c r="C89" i="8"/>
  <c r="I88" i="8"/>
  <c r="H88" i="8"/>
  <c r="G88" i="8"/>
  <c r="F88" i="8"/>
  <c r="E88" i="8"/>
  <c r="D88" i="8"/>
  <c r="C88" i="8"/>
  <c r="I87" i="8"/>
  <c r="H87" i="8"/>
  <c r="G87" i="8"/>
  <c r="F87" i="8"/>
  <c r="E87" i="8"/>
  <c r="D87" i="8"/>
  <c r="C87" i="8"/>
  <c r="I86" i="8"/>
  <c r="H86" i="8"/>
  <c r="G86" i="8"/>
  <c r="F86" i="8"/>
  <c r="E86" i="8"/>
  <c r="D86" i="8"/>
  <c r="C86" i="8"/>
  <c r="I85" i="8"/>
  <c r="H85" i="8"/>
  <c r="G85" i="8"/>
  <c r="F85" i="8"/>
  <c r="E85" i="8"/>
  <c r="D85" i="8"/>
  <c r="C85" i="8"/>
  <c r="I84" i="8"/>
  <c r="H84" i="8"/>
  <c r="G84" i="8"/>
  <c r="F84" i="8"/>
  <c r="E84" i="8"/>
  <c r="D84" i="8"/>
  <c r="C84" i="8"/>
  <c r="I83" i="8"/>
  <c r="H83" i="8"/>
  <c r="G83" i="8"/>
  <c r="F83" i="8"/>
  <c r="E83" i="8"/>
  <c r="D83" i="8"/>
  <c r="C83" i="8"/>
  <c r="I82" i="8"/>
  <c r="H82" i="8"/>
  <c r="G82" i="8"/>
  <c r="F82" i="8"/>
  <c r="E82" i="8"/>
  <c r="D82" i="8"/>
  <c r="C82" i="8"/>
  <c r="I81" i="8"/>
  <c r="H81" i="8"/>
  <c r="G81" i="8"/>
  <c r="F81" i="8"/>
  <c r="E81" i="8"/>
  <c r="D81" i="8"/>
  <c r="C81" i="8"/>
  <c r="I80" i="8"/>
  <c r="H80" i="8"/>
  <c r="G80" i="8"/>
  <c r="F80" i="8"/>
  <c r="E80" i="8"/>
  <c r="D80" i="8"/>
  <c r="C80" i="8"/>
  <c r="I77" i="8"/>
  <c r="H77" i="8"/>
  <c r="G77" i="8"/>
  <c r="F77" i="8"/>
  <c r="E77" i="8"/>
  <c r="D77" i="8"/>
  <c r="C77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C70" i="8"/>
  <c r="C71" i="8"/>
  <c r="C72" i="8"/>
  <c r="C73" i="8"/>
  <c r="C74" i="8"/>
  <c r="C75" i="8"/>
  <c r="C76" i="8"/>
  <c r="C69" i="8"/>
  <c r="I39" i="8"/>
  <c r="H39" i="8"/>
  <c r="D34" i="8"/>
  <c r="E34" i="8"/>
  <c r="F34" i="8"/>
  <c r="G34" i="8"/>
  <c r="H34" i="8"/>
  <c r="I34" i="8"/>
  <c r="C34" i="8"/>
  <c r="D62" i="8"/>
  <c r="E62" i="8"/>
  <c r="E64" i="8" s="1"/>
  <c r="F62" i="8"/>
  <c r="F64" i="8" s="1"/>
  <c r="G62" i="8"/>
  <c r="G64" i="8" s="1"/>
  <c r="H62" i="8"/>
  <c r="H64" i="8" s="1"/>
  <c r="I62" i="8"/>
  <c r="I64" i="8" s="1"/>
  <c r="C62" i="8"/>
  <c r="D56" i="8"/>
  <c r="D57" i="8" s="1"/>
  <c r="E56" i="8"/>
  <c r="E57" i="8" s="1"/>
  <c r="F56" i="8"/>
  <c r="F57" i="8" s="1"/>
  <c r="G56" i="8"/>
  <c r="G57" i="8" s="1"/>
  <c r="H56" i="8"/>
  <c r="H57" i="8" s="1"/>
  <c r="I56" i="8"/>
  <c r="I57" i="8"/>
  <c r="C56" i="8"/>
  <c r="C57" i="8" s="1"/>
  <c r="J61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J59" i="8"/>
  <c r="I59" i="8"/>
  <c r="H59" i="8"/>
  <c r="G59" i="8"/>
  <c r="F59" i="8"/>
  <c r="E59" i="8"/>
  <c r="D59" i="8"/>
  <c r="C59" i="8"/>
  <c r="J56" i="8"/>
  <c r="J55" i="8"/>
  <c r="I55" i="8"/>
  <c r="H55" i="8"/>
  <c r="G55" i="8"/>
  <c r="F55" i="8"/>
  <c r="E55" i="8"/>
  <c r="D55" i="8"/>
  <c r="C55" i="8"/>
  <c r="J54" i="8"/>
  <c r="I54" i="8"/>
  <c r="H54" i="8"/>
  <c r="G54" i="8"/>
  <c r="F54" i="8"/>
  <c r="E54" i="8"/>
  <c r="D54" i="8"/>
  <c r="C54" i="8"/>
  <c r="J53" i="8"/>
  <c r="J57" i="8" s="1"/>
  <c r="I53" i="8"/>
  <c r="H53" i="8"/>
  <c r="G53" i="8"/>
  <c r="F53" i="8"/>
  <c r="E53" i="8"/>
  <c r="D53" i="8"/>
  <c r="C53" i="8"/>
  <c r="J50" i="8"/>
  <c r="I50" i="8"/>
  <c r="H50" i="8"/>
  <c r="G50" i="8"/>
  <c r="F50" i="8"/>
  <c r="E50" i="8"/>
  <c r="D50" i="8"/>
  <c r="C50" i="8"/>
  <c r="J49" i="8"/>
  <c r="I49" i="8"/>
  <c r="H49" i="8"/>
  <c r="G49" i="8"/>
  <c r="F49" i="8"/>
  <c r="E49" i="8"/>
  <c r="D49" i="8"/>
  <c r="C49" i="8"/>
  <c r="J48" i="8"/>
  <c r="J51" i="8" s="1"/>
  <c r="I48" i="8"/>
  <c r="I51" i="8" s="1"/>
  <c r="H48" i="8"/>
  <c r="H51" i="8" s="1"/>
  <c r="G48" i="8"/>
  <c r="G51" i="8" s="1"/>
  <c r="F48" i="8"/>
  <c r="F51" i="8" s="1"/>
  <c r="E48" i="8"/>
  <c r="E51" i="8" s="1"/>
  <c r="D48" i="8"/>
  <c r="D51" i="8" s="1"/>
  <c r="C48" i="8"/>
  <c r="J47" i="8"/>
  <c r="I47" i="8"/>
  <c r="H47" i="8"/>
  <c r="G47" i="8"/>
  <c r="F47" i="8"/>
  <c r="E47" i="8"/>
  <c r="D47" i="8"/>
  <c r="C47" i="8"/>
  <c r="C51" i="8" s="1"/>
  <c r="J39" i="8"/>
  <c r="J31" i="8"/>
  <c r="J28" i="8"/>
  <c r="J22" i="8"/>
  <c r="J19" i="8"/>
  <c r="J8" i="8"/>
  <c r="J5" i="8"/>
  <c r="J14" i="8" s="1"/>
  <c r="J38" i="8"/>
  <c r="I38" i="8"/>
  <c r="H38" i="8"/>
  <c r="G38" i="8"/>
  <c r="F38" i="8"/>
  <c r="E38" i="8"/>
  <c r="D38" i="8"/>
  <c r="C38" i="8"/>
  <c r="C39" i="8" s="1"/>
  <c r="I28" i="8"/>
  <c r="H28" i="8"/>
  <c r="G28" i="8"/>
  <c r="F28" i="8"/>
  <c r="E28" i="8"/>
  <c r="D28" i="8"/>
  <c r="C28" i="8"/>
  <c r="D22" i="8"/>
  <c r="D23" i="8" s="1"/>
  <c r="E22" i="8"/>
  <c r="F22" i="8"/>
  <c r="G22" i="8"/>
  <c r="H22" i="8"/>
  <c r="I22" i="8"/>
  <c r="C22" i="8"/>
  <c r="E23" i="8"/>
  <c r="C23" i="8"/>
  <c r="I19" i="8"/>
  <c r="H19" i="8"/>
  <c r="G19" i="8"/>
  <c r="F19" i="8"/>
  <c r="E19" i="8"/>
  <c r="D19" i="8"/>
  <c r="C19" i="8"/>
  <c r="D13" i="8"/>
  <c r="D14" i="8" s="1"/>
  <c r="E13" i="8"/>
  <c r="F13" i="8"/>
  <c r="F14" i="8" s="1"/>
  <c r="G13" i="8"/>
  <c r="H13" i="8"/>
  <c r="I13" i="8"/>
  <c r="C13" i="8"/>
  <c r="C14" i="8" s="1"/>
  <c r="F11" i="8"/>
  <c r="I8" i="8"/>
  <c r="H8" i="8"/>
  <c r="G8" i="8"/>
  <c r="F8" i="8"/>
  <c r="F9" i="8" s="1"/>
  <c r="E8" i="8"/>
  <c r="E9" i="8" s="1"/>
  <c r="D8" i="8"/>
  <c r="D9" i="8" s="1"/>
  <c r="C8" i="8"/>
  <c r="C9" i="8" s="1"/>
  <c r="F6" i="8"/>
  <c r="E6" i="8"/>
  <c r="D6" i="8"/>
  <c r="I5" i="8"/>
  <c r="I11" i="8" s="1"/>
  <c r="I16" i="8" s="1"/>
  <c r="I17" i="8" s="1"/>
  <c r="H5" i="8"/>
  <c r="G5" i="8"/>
  <c r="F5" i="8"/>
  <c r="E5" i="8"/>
  <c r="E11" i="8" s="1"/>
  <c r="D5" i="8"/>
  <c r="D11" i="8" s="1"/>
  <c r="C5" i="8"/>
  <c r="C11" i="8" s="1"/>
  <c r="C16" i="8" s="1"/>
  <c r="C25" i="8" s="1"/>
  <c r="D3" i="8"/>
  <c r="E3" i="8"/>
  <c r="F3" i="8"/>
  <c r="G3" i="8"/>
  <c r="H3" i="8"/>
  <c r="I3" i="8"/>
  <c r="C3" i="8"/>
  <c r="B2" i="8"/>
  <c r="C6" i="3"/>
  <c r="D6" i="3"/>
  <c r="E6" i="3"/>
  <c r="E14" i="3" s="1"/>
  <c r="F6" i="3"/>
  <c r="G6" i="3"/>
  <c r="G14" i="3" s="1"/>
  <c r="H6" i="3"/>
  <c r="I6" i="3"/>
  <c r="J6" i="3"/>
  <c r="K6" i="3"/>
  <c r="B6" i="3"/>
  <c r="C5" i="1"/>
  <c r="D5" i="1"/>
  <c r="D6" i="1" s="1"/>
  <c r="D19" i="1" s="1"/>
  <c r="E5" i="1"/>
  <c r="F5" i="1"/>
  <c r="G5" i="1"/>
  <c r="H5" i="1"/>
  <c r="I5" i="1"/>
  <c r="J5" i="1"/>
  <c r="K5" i="1"/>
  <c r="B5" i="1"/>
  <c r="K13" i="1"/>
  <c r="K14" i="1" s="1"/>
  <c r="G13" i="1"/>
  <c r="B6" i="6"/>
  <c r="C17" i="2"/>
  <c r="D17" i="2"/>
  <c r="D20" i="2" s="1"/>
  <c r="E17" i="2"/>
  <c r="E20" i="2" s="1"/>
  <c r="F17" i="2"/>
  <c r="G17" i="2"/>
  <c r="H17" i="2"/>
  <c r="I17" i="2"/>
  <c r="J17" i="2"/>
  <c r="J20" i="2" s="1"/>
  <c r="K17" i="2"/>
  <c r="C18" i="2"/>
  <c r="D18" i="2"/>
  <c r="E18" i="2"/>
  <c r="F18" i="2"/>
  <c r="G18" i="2"/>
  <c r="H18" i="2"/>
  <c r="H21" i="2" s="1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J4" i="2"/>
  <c r="J5" i="2"/>
  <c r="K4" i="2"/>
  <c r="C5" i="2"/>
  <c r="D5" i="2"/>
  <c r="F5" i="2"/>
  <c r="G5" i="2"/>
  <c r="H5" i="2"/>
  <c r="H23" i="2" s="1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H16" i="2" s="1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F14" i="3" s="1"/>
  <c r="G4" i="3"/>
  <c r="H4" i="3"/>
  <c r="I4" i="3"/>
  <c r="I14" i="3" s="1"/>
  <c r="J4" i="3"/>
  <c r="K4" i="3"/>
  <c r="K14" i="3" s="1"/>
  <c r="C5" i="3"/>
  <c r="D5" i="3"/>
  <c r="E5" i="3"/>
  <c r="F5" i="3"/>
  <c r="G5" i="3"/>
  <c r="H5" i="3"/>
  <c r="I5" i="3"/>
  <c r="J5" i="3"/>
  <c r="K5" i="3"/>
  <c r="L5" i="1" s="1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6" i="1" s="1"/>
  <c r="C19" i="1" s="1"/>
  <c r="D4" i="1"/>
  <c r="E4" i="1"/>
  <c r="F4" i="1"/>
  <c r="F20" i="2" s="1"/>
  <c r="G4" i="1"/>
  <c r="G20" i="2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H12" i="1"/>
  <c r="I12" i="1"/>
  <c r="I23" i="2" s="1"/>
  <c r="J12" i="1"/>
  <c r="J13" i="1" s="1"/>
  <c r="K12" i="1"/>
  <c r="K23" i="2" s="1"/>
  <c r="C15" i="1"/>
  <c r="D15" i="1"/>
  <c r="E15" i="1"/>
  <c r="F15" i="1"/>
  <c r="G15" i="1"/>
  <c r="G14" i="1"/>
  <c r="H15" i="1"/>
  <c r="I15" i="1"/>
  <c r="J15" i="1"/>
  <c r="K15" i="1"/>
  <c r="B15" i="1"/>
  <c r="H13" i="1"/>
  <c r="I13" i="1"/>
  <c r="B7" i="1"/>
  <c r="B4" i="1"/>
  <c r="A1" i="1"/>
  <c r="H1" i="1"/>
  <c r="E1" i="2"/>
  <c r="E1" i="3"/>
  <c r="C23" i="2"/>
  <c r="F16" i="2"/>
  <c r="B23" i="2"/>
  <c r="E6" i="1"/>
  <c r="E19" i="1" s="1"/>
  <c r="G6" i="1"/>
  <c r="G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B12" i="3"/>
  <c r="B11" i="3"/>
  <c r="B10" i="3"/>
  <c r="B9" i="3"/>
  <c r="B8" i="3"/>
  <c r="B7" i="3"/>
  <c r="B4" i="3"/>
  <c r="B3" i="3"/>
  <c r="L13" i="1"/>
  <c r="L14" i="1" s="1"/>
  <c r="L25" i="1" s="1"/>
  <c r="L15" i="1"/>
  <c r="B12" i="1"/>
  <c r="B13" i="1" s="1"/>
  <c r="B11" i="1"/>
  <c r="B10" i="1"/>
  <c r="B9" i="1"/>
  <c r="B8" i="1"/>
  <c r="B3" i="1"/>
  <c r="L12" i="1"/>
  <c r="L11" i="1"/>
  <c r="L6" i="1"/>
  <c r="L4" i="1"/>
  <c r="L23" i="1" s="1"/>
  <c r="A1" i="3"/>
  <c r="A1" i="2"/>
  <c r="A1" i="4"/>
  <c r="C64" i="8" l="1"/>
  <c r="D64" i="8"/>
  <c r="C20" i="8"/>
  <c r="D20" i="8"/>
  <c r="E20" i="8"/>
  <c r="F20" i="8"/>
  <c r="G11" i="8"/>
  <c r="G16" i="8" s="1"/>
  <c r="H11" i="8"/>
  <c r="H16" i="8" s="1"/>
  <c r="H17" i="8" s="1"/>
  <c r="G20" i="8"/>
  <c r="H20" i="8"/>
  <c r="G9" i="8"/>
  <c r="J11" i="8"/>
  <c r="J16" i="8" s="1"/>
  <c r="J25" i="8" s="1"/>
  <c r="H9" i="8"/>
  <c r="J20" i="8"/>
  <c r="H14" i="8"/>
  <c r="J23" i="8"/>
  <c r="G6" i="8"/>
  <c r="C17" i="8"/>
  <c r="J32" i="8"/>
  <c r="H6" i="8"/>
  <c r="G23" i="8"/>
  <c r="D39" i="8"/>
  <c r="E39" i="8"/>
  <c r="I14" i="8"/>
  <c r="F39" i="8"/>
  <c r="G39" i="8"/>
  <c r="G14" i="8"/>
  <c r="E14" i="8"/>
  <c r="I20" i="8"/>
  <c r="I9" i="8"/>
  <c r="F16" i="8"/>
  <c r="F17" i="8" s="1"/>
  <c r="I6" i="8"/>
  <c r="J6" i="8"/>
  <c r="D16" i="8"/>
  <c r="D17" i="8" s="1"/>
  <c r="E16" i="8"/>
  <c r="E17" i="8" s="1"/>
  <c r="F23" i="8"/>
  <c r="C29" i="8"/>
  <c r="C31" i="8" s="1"/>
  <c r="C35" i="8" s="1"/>
  <c r="C26" i="8"/>
  <c r="I25" i="8"/>
  <c r="H25" i="8"/>
  <c r="J26" i="8"/>
  <c r="J29" i="8"/>
  <c r="J17" i="8"/>
  <c r="H23" i="8"/>
  <c r="I23" i="8"/>
  <c r="J9" i="8"/>
  <c r="J14" i="1"/>
  <c r="N11" i="1"/>
  <c r="M11" i="1"/>
  <c r="H24" i="2"/>
  <c r="G23" i="2"/>
  <c r="B14" i="1"/>
  <c r="C14" i="3"/>
  <c r="F24" i="2"/>
  <c r="J16" i="2"/>
  <c r="G16" i="2"/>
  <c r="E24" i="2"/>
  <c r="D24" i="2"/>
  <c r="L19" i="1"/>
  <c r="L24" i="1" s="1"/>
  <c r="L8" i="1"/>
  <c r="D14" i="3"/>
  <c r="F23" i="2"/>
  <c r="I14" i="1"/>
  <c r="K25" i="1" s="1"/>
  <c r="M25" i="1" s="1"/>
  <c r="M14" i="1" s="1"/>
  <c r="K6" i="1"/>
  <c r="K19" i="1" s="1"/>
  <c r="L9" i="1"/>
  <c r="L7" i="1"/>
  <c r="E16" i="2"/>
  <c r="J23" i="2"/>
  <c r="H23" i="1"/>
  <c r="B14" i="3"/>
  <c r="I6" i="1"/>
  <c r="I19" i="1" s="1"/>
  <c r="K24" i="1" s="1"/>
  <c r="M24" i="1" s="1"/>
  <c r="B16" i="2"/>
  <c r="D23" i="2"/>
  <c r="E14" i="1"/>
  <c r="I25" i="1" s="1"/>
  <c r="J24" i="2"/>
  <c r="C20" i="2"/>
  <c r="C24" i="2"/>
  <c r="J23" i="1"/>
  <c r="N23" i="1" s="1"/>
  <c r="N4" i="1" s="1"/>
  <c r="H14" i="1"/>
  <c r="I23" i="1"/>
  <c r="K24" i="2"/>
  <c r="B20" i="2"/>
  <c r="I24" i="2"/>
  <c r="G24" i="2"/>
  <c r="D13" i="1"/>
  <c r="E13" i="1" s="1"/>
  <c r="J25" i="1"/>
  <c r="M9" i="1"/>
  <c r="N9" i="1"/>
  <c r="N8" i="1"/>
  <c r="M8" i="1"/>
  <c r="I20" i="2"/>
  <c r="H20" i="2"/>
  <c r="K23" i="1"/>
  <c r="M23" i="1" s="1"/>
  <c r="M4" i="1" s="1"/>
  <c r="H6" i="1"/>
  <c r="H19" i="1" s="1"/>
  <c r="I24" i="1" s="1"/>
  <c r="F6" i="1"/>
  <c r="F19" i="1" s="1"/>
  <c r="H24" i="1" s="1"/>
  <c r="E1" i="4"/>
  <c r="C40" i="8" l="1"/>
  <c r="C42" i="8"/>
  <c r="F25" i="8"/>
  <c r="E25" i="8"/>
  <c r="G25" i="8"/>
  <c r="G17" i="8"/>
  <c r="D25" i="8"/>
  <c r="E26" i="8"/>
  <c r="E29" i="8"/>
  <c r="E31" i="8" s="1"/>
  <c r="D26" i="8"/>
  <c r="D29" i="8"/>
  <c r="D31" i="8" s="1"/>
  <c r="H26" i="8"/>
  <c r="H29" i="8"/>
  <c r="H31" i="8"/>
  <c r="I26" i="8"/>
  <c r="I29" i="8"/>
  <c r="I31" i="8" s="1"/>
  <c r="C32" i="8"/>
  <c r="F26" i="8"/>
  <c r="F29" i="8"/>
  <c r="F31" i="8" s="1"/>
  <c r="D14" i="1"/>
  <c r="H25" i="1" s="1"/>
  <c r="N25" i="1" s="1"/>
  <c r="N14" i="1" s="1"/>
  <c r="N15" i="1" s="1"/>
  <c r="J24" i="1"/>
  <c r="N24" i="1" s="1"/>
  <c r="N6" i="1"/>
  <c r="N10" i="1" s="1"/>
  <c r="N12" i="1" s="1"/>
  <c r="N13" i="1" s="1"/>
  <c r="N5" i="1"/>
  <c r="M6" i="1"/>
  <c r="M10" i="1" s="1"/>
  <c r="M12" i="1" s="1"/>
  <c r="M13" i="1" s="1"/>
  <c r="M15" i="1" s="1"/>
  <c r="G26" i="8" l="1"/>
  <c r="G29" i="8"/>
  <c r="G31" i="8" s="1"/>
  <c r="F35" i="8"/>
  <c r="F32" i="8"/>
  <c r="D35" i="8"/>
  <c r="D32" i="8"/>
  <c r="E35" i="8"/>
  <c r="E32" i="8"/>
  <c r="I35" i="8"/>
  <c r="I32" i="8"/>
  <c r="H32" i="8"/>
  <c r="H35" i="8"/>
  <c r="M5" i="1"/>
  <c r="G35" i="8" l="1"/>
  <c r="G32" i="8"/>
  <c r="H40" i="8"/>
  <c r="H42" i="8" s="1"/>
  <c r="I40" i="8"/>
  <c r="I42" i="8" s="1"/>
  <c r="I36" i="8"/>
  <c r="E36" i="8"/>
  <c r="E40" i="8"/>
  <c r="E42" i="8" s="1"/>
  <c r="D36" i="8"/>
  <c r="D40" i="8"/>
  <c r="D42" i="8" s="1"/>
  <c r="F36" i="8"/>
  <c r="F40" i="8"/>
  <c r="F42" i="8" s="1"/>
  <c r="H36" i="8" l="1"/>
  <c r="G40" i="8"/>
  <c r="G42" i="8" s="1"/>
  <c r="G36" i="8"/>
</calcChain>
</file>

<file path=xl/sharedStrings.xml><?xml version="1.0" encoding="utf-8"?>
<sst xmlns="http://schemas.openxmlformats.org/spreadsheetml/2006/main" count="260" uniqueCount="158">
  <si>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</si>
  <si>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</si>
  <si>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</si>
  <si>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</si>
  <si>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</si>
  <si>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</si>
  <si>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</si>
  <si>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</si>
  <si>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</si>
  <si>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</si>
  <si>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</si>
  <si>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</si>
  <si>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</si>
  <si>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</si>
  <si>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</si>
  <si>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</si>
  <si>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</si>
  <si>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</si>
  <si>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</si>
  <si>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</si>
  <si>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</si>
  <si>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</si>
  <si>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</si>
  <si>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</si>
  <si>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</si>
  <si>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</si>
  <si>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</si>
  <si>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</si>
  <si>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</si>
  <si>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</si>
  <si>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</si>
  <si>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</si>
  <si>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</si>
  <si>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</si>
  <si>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</si>
  <si>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</si>
  <si>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</si>
  <si>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</si>
  <si>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</si>
  <si>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</si>
  <si>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</si>
  <si>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</si>
  <si>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</si>
  <si>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</si>
  <si>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</si>
  <si>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</si>
  <si>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</si>
  <si>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</si>
  <si>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</si>
  <si>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</si>
  <si>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</si>
  <si>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</si>
  <si>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</si>
  <si>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</si>
  <si>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</si>
  <si>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</si>
  <si>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</si>
  <si>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</si>
  <si>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</si>
  <si>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</si>
  <si>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</si>
  <si>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</si>
  <si>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</si>
  <si>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</si>
  <si>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</si>
  <si>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</si>
  <si>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</si>
  <si>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</si>
  <si>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</si>
  <si>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</si>
  <si>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</si>
  <si>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</si>
  <si>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</si>
  <si>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</si>
  <si>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</si>
  <si>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</si>
  <si>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</si>
  <si>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</si>
  <si>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</si>
  <si>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</si>
  <si>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</si>
  <si>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</si>
  <si>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</si>
  <si>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</si>
  <si>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</si>
  <si>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</si>
  <si>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</si>
  <si>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</si>
  <si>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</si>
  <si>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</si>
  <si>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</si>
  <si>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</si>
  <si>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</si>
  <si>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Tata Motors</t>
  </si>
  <si>
    <t>Years</t>
  </si>
  <si>
    <t>#</t>
  </si>
  <si>
    <t>Income Statement</t>
  </si>
  <si>
    <t>COGS</t>
  </si>
  <si>
    <t>COGS % Sales</t>
  </si>
  <si>
    <t>Gross Profit</t>
  </si>
  <si>
    <t>Last 6 Months</t>
  </si>
  <si>
    <t>Selling &amp; general expenses</t>
  </si>
  <si>
    <t>S&amp;G exp % Sales</t>
  </si>
  <si>
    <t>EBIDTA</t>
  </si>
  <si>
    <t>EBDITA % SALES</t>
  </si>
  <si>
    <t>Interest % Sales</t>
  </si>
  <si>
    <t>Depriciation</t>
  </si>
  <si>
    <t>Depriciation % Sales</t>
  </si>
  <si>
    <t xml:space="preserve">EBT </t>
  </si>
  <si>
    <t>EBT % Sales</t>
  </si>
  <si>
    <t>Eff Tax rate</t>
  </si>
  <si>
    <t>Net Profit</t>
  </si>
  <si>
    <t>Net Margin</t>
  </si>
  <si>
    <t>Equity Shares</t>
  </si>
  <si>
    <t>Dividend Per Share</t>
  </si>
  <si>
    <t xml:space="preserve">Dividend </t>
  </si>
  <si>
    <t>EPS Growth</t>
  </si>
  <si>
    <t>Dividend Payyout Ratio</t>
  </si>
  <si>
    <t>Retained Earning</t>
  </si>
  <si>
    <t>Balance Sheet</t>
  </si>
  <si>
    <t>Total Liabilities</t>
  </si>
  <si>
    <t>Fixed Assets / Net Block</t>
  </si>
  <si>
    <t>Total Non Current Assets</t>
  </si>
  <si>
    <t>Total Current Assets</t>
  </si>
  <si>
    <t>Total Assets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</si>
  <si>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</si>
  <si>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</si>
  <si>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</si>
  <si>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</si>
  <si>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</si>
  <si>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</si>
  <si>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</si>
  <si>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</si>
  <si>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</si>
  <si>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</si>
  <si>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</si>
  <si>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</si>
  <si>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</si>
  <si>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</si>
  <si>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</si>
  <si>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</si>
  <si>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</si>
  <si>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</si>
  <si>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</si>
  <si>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</si>
  <si>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</si>
  <si>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</si>
  <si>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</si>
  <si>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</si>
  <si>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</si>
  <si>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</si>
  <si>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</si>
  <si>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</si>
  <si>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Cashflow</t>
  </si>
  <si>
    <t>CashFlow Statement</t>
  </si>
  <si>
    <t>Operating Activities</t>
  </si>
  <si>
    <t>Investing Activities</t>
  </si>
  <si>
    <t>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</si>
</sst>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;\(&quot;₹&quot;\ #,##0.0\);\-"/>
    <numFmt numFmtId="167" formatCode="#,##0.00;\(#,##0.00\)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42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17" fontId="0" fillId="0" borderId="0" xfId="0" applyNumberFormat="1"/>
    <xf numFmtId="0" fontId="2" fillId="6" borderId="0" xfId="0" applyFont="1" applyFill="1"/>
    <xf numFmtId="17" fontId="2" fillId="6" borderId="0" xfId="0" applyNumberFormat="1" applyFont="1" applyFill="1"/>
    <xf numFmtId="166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7" fontId="0" fillId="0" borderId="0" xfId="0" applyNumberFormat="1"/>
    <xf numFmtId="167" fontId="2" fillId="6" borderId="0" xfId="0" applyNumberFormat="1" applyFont="1" applyFill="1"/>
    <xf numFmtId="167" fontId="10" fillId="0" borderId="0" xfId="0" applyNumberFormat="1" applyFont="1"/>
    <xf numFmtId="167" fontId="10" fillId="0" borderId="0" xfId="6" applyNumberFormat="1" applyFont="1"/>
    <xf numFmtId="167" fontId="0" fillId="0" borderId="0" xfId="6" applyNumberFormat="1" applyFont="1"/>
    <xf numFmtId="167" fontId="1" fillId="0" borderId="1" xfId="0" applyNumberFormat="1" applyFont="1" applyBorder="1"/>
    <xf numFmtId="167" fontId="1" fillId="0" borderId="0" xfId="0" applyNumberFormat="1" applyFont="1"/>
    <xf numFmtId="166" fontId="1" fillId="0" borderId="1" xfId="0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167" fontId="2" fillId="6" borderId="0" xfId="0" applyNumberFormat="1" applyFont="1" applyFill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E11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96875" defaultRowHeight="14.25" x14ac:dyDescent="0.45"/>
  <cols>
    <col min="1" max="1" width="20.6640625" customWidth="1"/>
    <col min="2" max="6" width="13.46484375" customWidth="1"/>
    <col min="7" max="7" width="14.796875" bestFit="1" customWidth="1"/>
    <col min="8" max="11" width="13.46484375" customWidth="1"/>
    <col min="12" max="12" width="13.33203125" customWidth="1"/>
    <col min="13" max="14" width="12.1328125" customWidth="1"/>
  </cols>
  <sheetData>
    <row r="1" spans="1:14" s="2" customFormat="1" x14ac:dyDescent="0.45">
      <c r="A1" s="2" t="str">
        <f>'Data Sheet'!B1</f>
        <v>TATA MOTORS LTD</v>
      </c>
      <c r="H1" t="str">
        <f>UPDATE</f>
        <v>Tata Motors</v>
      </c>
      <c r="J1" s="3"/>
      <c r="K1" s="3"/>
      <c r="M1" s="2" t="s">
        <v>1</v>
      </c>
    </row>
    <row r="3" spans="1:14" s="2" customFormat="1" x14ac:dyDescent="0.45">
      <c r="A3" s="11" t="s">
        <v>2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45">
      <c r="A4" s="2" t="s">
        <v>6</v>
      </c>
      <c r="B4" s="1">
        <f>'Data Sheet'!B17</f>
        <v>263158.98</v>
      </c>
      <c r="C4" s="1">
        <f>'Data Sheet'!C17</f>
        <v>273045.59999999998</v>
      </c>
      <c r="D4" s="1">
        <f>'Data Sheet'!D17</f>
        <v>269692.51</v>
      </c>
      <c r="E4" s="1">
        <f>'Data Sheet'!E17</f>
        <v>291550.48</v>
      </c>
      <c r="F4" s="1">
        <f>'Data Sheet'!F17</f>
        <v>301938.40000000002</v>
      </c>
      <c r="G4" s="1">
        <f>'Data Sheet'!G17</f>
        <v>261067.97</v>
      </c>
      <c r="H4" s="1">
        <f>'Data Sheet'!H17</f>
        <v>249794.75</v>
      </c>
      <c r="I4" s="1">
        <f>'Data Sheet'!I17</f>
        <v>278453.62</v>
      </c>
      <c r="J4" s="1">
        <f>'Data Sheet'!J17</f>
        <v>345966.97</v>
      </c>
      <c r="K4" s="1">
        <f>'Data Sheet'!K17</f>
        <v>437927.77</v>
      </c>
      <c r="L4" s="1">
        <f>SUM(Quarters!H4:K4)</f>
        <v>443739.38</v>
      </c>
      <c r="M4" s="1">
        <f>$K4+M23*K4</f>
        <v>554332.48941993783</v>
      </c>
      <c r="N4" s="1">
        <f>$K4+N23*L4</f>
        <v>463762.34922181582</v>
      </c>
    </row>
    <row r="5" spans="1:14" x14ac:dyDescent="0.45">
      <c r="A5" t="s">
        <v>7</v>
      </c>
      <c r="B5" s="6">
        <f>SUM('Data Sheet'!B18,'Data Sheet'!B20:B24, -1*'Data Sheet'!B19)</f>
        <v>223920.33000000002</v>
      </c>
      <c r="C5" s="6">
        <f>SUM('Data Sheet'!C18,'Data Sheet'!C20:C24, -1*'Data Sheet'!C19)</f>
        <v>234650.35</v>
      </c>
      <c r="D5" s="6">
        <f>SUM('Data Sheet'!D18,'Data Sheet'!D20:D24, -1*'Data Sheet'!D19)</f>
        <v>240103.81999999998</v>
      </c>
      <c r="E5" s="6">
        <f>SUM('Data Sheet'!E18,'Data Sheet'!E20:E24, -1*'Data Sheet'!E19)</f>
        <v>260092.80000000002</v>
      </c>
      <c r="F5" s="6">
        <f>SUM('Data Sheet'!F18,'Data Sheet'!F20:F24, -1*'Data Sheet'!F19)</f>
        <v>277274.07</v>
      </c>
      <c r="G5" s="6">
        <f>SUM('Data Sheet'!G18,'Data Sheet'!G20:G24, -1*'Data Sheet'!G19)</f>
        <v>243080.90000000005</v>
      </c>
      <c r="H5" s="6">
        <f>SUM('Data Sheet'!H18,'Data Sheet'!H20:H24, -1*'Data Sheet'!H19)</f>
        <v>217507.32</v>
      </c>
      <c r="I5" s="6">
        <f>SUM('Data Sheet'!I18,'Data Sheet'!I20:I24, -1*'Data Sheet'!I19)</f>
        <v>253733.52999999997</v>
      </c>
      <c r="J5" s="6">
        <f>SUM('Data Sheet'!J18,'Data Sheet'!J20:J24, -1*'Data Sheet'!J19)</f>
        <v>314151.17000000004</v>
      </c>
      <c r="K5" s="6">
        <f>SUM('Data Sheet'!K18,'Data Sheet'!K20:K24, -1*'Data Sheet'!K19)</f>
        <v>378389.43</v>
      </c>
      <c r="L5" s="6">
        <f>SUM(Quarters!H5:K5)</f>
        <v>381634.07</v>
      </c>
      <c r="M5" s="6">
        <f t="shared" ref="M5:N5" si="0">M4-M6</f>
        <v>476748.68088237476</v>
      </c>
      <c r="N5" s="6">
        <f t="shared" si="0"/>
        <v>416144.51799449825</v>
      </c>
    </row>
    <row r="6" spans="1:14" s="2" customFormat="1" x14ac:dyDescent="0.45">
      <c r="A6" s="2" t="s">
        <v>8</v>
      </c>
      <c r="B6" s="1">
        <f>B4-B5</f>
        <v>39238.649999999965</v>
      </c>
      <c r="C6" s="1">
        <f t="shared" ref="C6:K6" si="1">C4-C5</f>
        <v>38395.249999999971</v>
      </c>
      <c r="D6" s="1">
        <f t="shared" si="1"/>
        <v>29588.690000000031</v>
      </c>
      <c r="E6" s="1">
        <f t="shared" si="1"/>
        <v>31457.679999999964</v>
      </c>
      <c r="F6" s="1">
        <f t="shared" si="1"/>
        <v>24664.330000000016</v>
      </c>
      <c r="G6" s="1">
        <f t="shared" si="1"/>
        <v>17987.069999999949</v>
      </c>
      <c r="H6" s="1">
        <f t="shared" si="1"/>
        <v>32287.429999999993</v>
      </c>
      <c r="I6" s="1">
        <f t="shared" si="1"/>
        <v>24720.090000000026</v>
      </c>
      <c r="J6" s="1">
        <f t="shared" si="1"/>
        <v>31815.79999999993</v>
      </c>
      <c r="K6" s="1">
        <f t="shared" si="1"/>
        <v>59538.340000000026</v>
      </c>
      <c r="L6" s="1">
        <f>SUM(Quarters!H6:K6)</f>
        <v>62105.31</v>
      </c>
      <c r="M6" s="1">
        <f>M4*M24</f>
        <v>77583.808537563105</v>
      </c>
      <c r="N6" s="1">
        <f>N4*N24</f>
        <v>47617.831227317583</v>
      </c>
    </row>
    <row r="7" spans="1:14" x14ac:dyDescent="0.45">
      <c r="A7" t="s">
        <v>9</v>
      </c>
      <c r="B7" s="6">
        <f>'Data Sheet'!B25</f>
        <v>714.03</v>
      </c>
      <c r="C7" s="6">
        <f>'Data Sheet'!C25</f>
        <v>-2669.62</v>
      </c>
      <c r="D7" s="6">
        <f>'Data Sheet'!D25</f>
        <v>1869.1</v>
      </c>
      <c r="E7" s="6">
        <f>'Data Sheet'!E25</f>
        <v>5932.73</v>
      </c>
      <c r="F7" s="6">
        <f>'Data Sheet'!F25</f>
        <v>-26686.25</v>
      </c>
      <c r="G7" s="6">
        <f>'Data Sheet'!G25</f>
        <v>101.71</v>
      </c>
      <c r="H7" s="6">
        <f>'Data Sheet'!H25</f>
        <v>-11117.83</v>
      </c>
      <c r="I7" s="6">
        <f>'Data Sheet'!I25</f>
        <v>2424.0500000000002</v>
      </c>
      <c r="J7" s="6">
        <f>'Data Sheet'!J25</f>
        <v>6663.97</v>
      </c>
      <c r="K7" s="6">
        <f>'Data Sheet'!K25</f>
        <v>5672.66</v>
      </c>
      <c r="L7" s="6">
        <f>SUM(Quarters!H7:K7)</f>
        <v>6476.8099999999995</v>
      </c>
      <c r="M7" s="6">
        <v>0</v>
      </c>
      <c r="N7" s="6">
        <v>0</v>
      </c>
    </row>
    <row r="8" spans="1:14" x14ac:dyDescent="0.45">
      <c r="A8" t="s">
        <v>10</v>
      </c>
      <c r="B8" s="6">
        <f>'Data Sheet'!B26</f>
        <v>13388.63</v>
      </c>
      <c r="C8" s="6">
        <f>'Data Sheet'!C26</f>
        <v>16710.78</v>
      </c>
      <c r="D8" s="6">
        <f>'Data Sheet'!D26</f>
        <v>17904.990000000002</v>
      </c>
      <c r="E8" s="6">
        <f>'Data Sheet'!E26</f>
        <v>21553.59</v>
      </c>
      <c r="F8" s="6">
        <f>'Data Sheet'!F26</f>
        <v>23590.63</v>
      </c>
      <c r="G8" s="6">
        <f>'Data Sheet'!G26</f>
        <v>21425.43</v>
      </c>
      <c r="H8" s="6">
        <f>'Data Sheet'!H26</f>
        <v>23546.71</v>
      </c>
      <c r="I8" s="6">
        <f>'Data Sheet'!I26</f>
        <v>24835.69</v>
      </c>
      <c r="J8" s="6">
        <f>'Data Sheet'!J26</f>
        <v>24860.36</v>
      </c>
      <c r="K8" s="6">
        <f>'Data Sheet'!K26</f>
        <v>27270.13</v>
      </c>
      <c r="L8" s="6">
        <f>SUM(Quarters!H8:K8)</f>
        <v>27211.42</v>
      </c>
      <c r="M8" s="6">
        <f>+$L8</f>
        <v>27211.42</v>
      </c>
      <c r="N8" s="6">
        <f>+$L8</f>
        <v>27211.42</v>
      </c>
    </row>
    <row r="9" spans="1:14" x14ac:dyDescent="0.45">
      <c r="A9" t="s">
        <v>11</v>
      </c>
      <c r="B9" s="6">
        <f>'Data Sheet'!B27</f>
        <v>4861.49</v>
      </c>
      <c r="C9" s="6">
        <f>'Data Sheet'!C27</f>
        <v>4889.08</v>
      </c>
      <c r="D9" s="6">
        <f>'Data Sheet'!D27</f>
        <v>4238.01</v>
      </c>
      <c r="E9" s="6">
        <f>'Data Sheet'!E27</f>
        <v>4681.79</v>
      </c>
      <c r="F9" s="6">
        <f>'Data Sheet'!F27</f>
        <v>5758.6</v>
      </c>
      <c r="G9" s="6">
        <f>'Data Sheet'!G27</f>
        <v>7243.33</v>
      </c>
      <c r="H9" s="6">
        <f>'Data Sheet'!H27</f>
        <v>8097.17</v>
      </c>
      <c r="I9" s="6">
        <f>'Data Sheet'!I27</f>
        <v>9311.86</v>
      </c>
      <c r="J9" s="6">
        <f>'Data Sheet'!J27</f>
        <v>10225.48</v>
      </c>
      <c r="K9" s="6">
        <f>'Data Sheet'!K27</f>
        <v>9985.76</v>
      </c>
      <c r="L9" s="6">
        <f>SUM(Quarters!H9:K9)</f>
        <v>9458.6</v>
      </c>
      <c r="M9" s="6">
        <f>+$L9</f>
        <v>9458.6</v>
      </c>
      <c r="N9" s="6">
        <f>+$L9</f>
        <v>9458.6</v>
      </c>
    </row>
    <row r="10" spans="1:14" x14ac:dyDescent="0.45">
      <c r="A10" t="s">
        <v>12</v>
      </c>
      <c r="B10" s="6">
        <f>'Data Sheet'!B28</f>
        <v>21702.560000000001</v>
      </c>
      <c r="C10" s="6">
        <f>'Data Sheet'!C28</f>
        <v>14125.77</v>
      </c>
      <c r="D10" s="6">
        <f>'Data Sheet'!D28</f>
        <v>9314.7900000000009</v>
      </c>
      <c r="E10" s="6">
        <f>'Data Sheet'!E28</f>
        <v>11155.03</v>
      </c>
      <c r="F10" s="6">
        <f>'Data Sheet'!F28</f>
        <v>-31371.15</v>
      </c>
      <c r="G10" s="6">
        <f>'Data Sheet'!G28</f>
        <v>-10579.98</v>
      </c>
      <c r="H10" s="6">
        <f>'Data Sheet'!H28</f>
        <v>-10474.280000000001</v>
      </c>
      <c r="I10" s="6">
        <f>'Data Sheet'!I28</f>
        <v>-7003.41</v>
      </c>
      <c r="J10" s="6">
        <f>'Data Sheet'!J28</f>
        <v>3393.93</v>
      </c>
      <c r="K10" s="6">
        <f>'Data Sheet'!K28</f>
        <v>27955.11</v>
      </c>
      <c r="L10" s="6">
        <f>SUM(Quarters!H10:K10)</f>
        <v>31912.1</v>
      </c>
      <c r="M10" s="6">
        <f>M6+M7-SUM(M8:M9)</f>
        <v>40913.788537563109</v>
      </c>
      <c r="N10" s="6">
        <f>N6+N7-SUM(N8:N9)</f>
        <v>10947.811227317587</v>
      </c>
    </row>
    <row r="11" spans="1:14" x14ac:dyDescent="0.45">
      <c r="A11" t="s">
        <v>13</v>
      </c>
      <c r="B11" s="6">
        <f>'Data Sheet'!B29</f>
        <v>7642.91</v>
      </c>
      <c r="C11" s="6">
        <f>'Data Sheet'!C29</f>
        <v>3025.05</v>
      </c>
      <c r="D11" s="6">
        <f>'Data Sheet'!D29</f>
        <v>3251.23</v>
      </c>
      <c r="E11" s="6">
        <f>'Data Sheet'!E29</f>
        <v>4341.93</v>
      </c>
      <c r="F11" s="6">
        <f>'Data Sheet'!F29</f>
        <v>-2437.4499999999998</v>
      </c>
      <c r="G11" s="6">
        <f>'Data Sheet'!G29</f>
        <v>395.25</v>
      </c>
      <c r="H11" s="6">
        <f>'Data Sheet'!H29</f>
        <v>2541.86</v>
      </c>
      <c r="I11" s="6">
        <f>'Data Sheet'!I29</f>
        <v>4231.29</v>
      </c>
      <c r="J11" s="6">
        <f>'Data Sheet'!J29</f>
        <v>704.06</v>
      </c>
      <c r="K11" s="6">
        <f>'Data Sheet'!K29</f>
        <v>-3851.64</v>
      </c>
      <c r="L11" s="6">
        <f>SUM(Quarters!H11:K11)</f>
        <v>-2237.37</v>
      </c>
      <c r="M11" s="7">
        <f>IF($L10&gt;0,$L11/$L10,0)</f>
        <v>-7.0110396996750451E-2</v>
      </c>
      <c r="N11" s="7">
        <f>IF($L10&gt;0,$L11/$L10,0)</f>
        <v>-7.0110396996750451E-2</v>
      </c>
    </row>
    <row r="12" spans="1:14" s="2" customFormat="1" x14ac:dyDescent="0.45">
      <c r="A12" s="2" t="s">
        <v>14</v>
      </c>
      <c r="B12" s="1">
        <f>'Data Sheet'!B30</f>
        <v>13986.29</v>
      </c>
      <c r="C12" s="1">
        <f>'Data Sheet'!C30</f>
        <v>11579.31</v>
      </c>
      <c r="D12" s="1">
        <f>'Data Sheet'!D30</f>
        <v>7454.36</v>
      </c>
      <c r="E12" s="1">
        <f>'Data Sheet'!E30</f>
        <v>8988.91</v>
      </c>
      <c r="F12" s="1">
        <f>'Data Sheet'!F30</f>
        <v>-28826.23</v>
      </c>
      <c r="G12" s="1">
        <f>'Data Sheet'!G30</f>
        <v>-12070.85</v>
      </c>
      <c r="H12" s="1">
        <f>'Data Sheet'!H30</f>
        <v>-13451.39</v>
      </c>
      <c r="I12" s="1">
        <f>'Data Sheet'!I30</f>
        <v>-11441.47</v>
      </c>
      <c r="J12" s="1">
        <f>'Data Sheet'!J30</f>
        <v>2414.29</v>
      </c>
      <c r="K12" s="1">
        <f>'Data Sheet'!K30</f>
        <v>31399.09</v>
      </c>
      <c r="L12" s="1">
        <f>SUM(Quarters!H12:K12)</f>
        <v>33762.11</v>
      </c>
      <c r="M12" s="1">
        <f>M10-M11*M10</f>
        <v>43782.270494572753</v>
      </c>
      <c r="N12" s="1">
        <f>N10-N11*N10</f>
        <v>11715.366618710304</v>
      </c>
    </row>
    <row r="13" spans="1:14" x14ac:dyDescent="0.45">
      <c r="A13" t="s">
        <v>57</v>
      </c>
      <c r="B13" s="6">
        <f>IF('Data Sheet'!B93&gt;0,B12/'Data Sheet'!B93,0)</f>
        <v>48.439045508069547</v>
      </c>
      <c r="C13" s="6">
        <f>IF('Data Sheet'!C93&gt;0,C12/'Data Sheet'!C93,0)</f>
        <v>40.105673316708227</v>
      </c>
      <c r="D13" s="6">
        <f>IF('Data Sheet'!D93&gt;0,D12/'Data Sheet'!D93,0)</f>
        <v>25.817753610639695</v>
      </c>
      <c r="E13" s="6">
        <f>IF('Data Sheet'!E93&gt;0,E12/'Data Sheet'!E93,0)</f>
        <v>31.132580611644094</v>
      </c>
      <c r="F13" s="6">
        <f>IF('Data Sheet'!F93&gt;0,F12/'Data Sheet'!F93,0)</f>
        <v>-99.838014754268684</v>
      </c>
      <c r="G13" s="6">
        <f>IF('Data Sheet'!G93&gt;0,G12/'Data Sheet'!G93,0)</f>
        <v>-39.076885723535128</v>
      </c>
      <c r="H13" s="6">
        <f>IF('Data Sheet'!H93&gt;0,H12/'Data Sheet'!H93,0)</f>
        <v>-40.512574164985097</v>
      </c>
      <c r="I13" s="6">
        <f>IF('Data Sheet'!I93&gt;0,I12/'Data Sheet'!I93,0)</f>
        <v>-34.454994428885477</v>
      </c>
      <c r="J13" s="6">
        <f>IF('Data Sheet'!J93&gt;0,J12/'Data Sheet'!J93,0)</f>
        <v>7.2691114924878812</v>
      </c>
      <c r="K13" s="6">
        <f>IF('Data Sheet'!K93&gt;0,K12/'Data Sheet'!K93,0)</f>
        <v>94.470289135601888</v>
      </c>
      <c r="L13" s="6">
        <f>IF('Data Sheet'!$B6&gt;0,'Profit &amp; Loss'!L12/'Data Sheet'!$B6,0)</f>
        <v>91.722827087791501</v>
      </c>
      <c r="M13" s="6">
        <f>IF('Data Sheet'!$B6&gt;0,'Profit &amp; Loss'!M12/'Data Sheet'!$B6,0)</f>
        <v>118.94498377277404</v>
      </c>
      <c r="N13" s="6">
        <f>IF('Data Sheet'!$B6&gt;0,'Profit &amp; Loss'!N12/'Data Sheet'!$B6,0)</f>
        <v>31.827588578973582</v>
      </c>
    </row>
    <row r="14" spans="1:14" x14ac:dyDescent="0.45">
      <c r="A14" t="s">
        <v>16</v>
      </c>
      <c r="B14" s="6">
        <f>IF(B15&gt;0,B15/B13,"")</f>
        <v>11.238247869878288</v>
      </c>
      <c r="C14" s="6">
        <f t="shared" ref="C14:K14" si="2">IF(C15&gt;0,C15/C13,"")</f>
        <v>9.6395339618681959</v>
      </c>
      <c r="D14" s="6">
        <f t="shared" si="2"/>
        <v>18.043785180753279</v>
      </c>
      <c r="E14" s="6">
        <f t="shared" si="2"/>
        <v>10.4986478338308</v>
      </c>
      <c r="F14" s="6">
        <f t="shared" si="2"/>
        <v>-1.7453271725092045</v>
      </c>
      <c r="G14" s="6">
        <f t="shared" si="2"/>
        <v>-1.8182103994333454</v>
      </c>
      <c r="H14" s="6">
        <f t="shared" si="2"/>
        <v>-7.4495389695786081</v>
      </c>
      <c r="I14" s="6">
        <f t="shared" si="2"/>
        <v>-12.588886087189845</v>
      </c>
      <c r="J14" s="6">
        <f t="shared" si="2"/>
        <v>57.88878055246056</v>
      </c>
      <c r="K14" s="6">
        <f t="shared" si="2"/>
        <v>10.509124181624372</v>
      </c>
      <c r="L14" s="6">
        <f t="shared" ref="L14" si="3">IF(L13&gt;0,L15/L13,0)</f>
        <v>10.751413048532807</v>
      </c>
      <c r="M14" s="6">
        <f>M25</f>
        <v>26.383105927539248</v>
      </c>
      <c r="N14" s="6">
        <f>N25</f>
        <v>10.751413048532807</v>
      </c>
    </row>
    <row r="15" spans="1:14" s="2" customFormat="1" x14ac:dyDescent="0.45">
      <c r="A15" s="2" t="s">
        <v>58</v>
      </c>
      <c r="B15" s="1">
        <f>'Data Sheet'!B90</f>
        <v>544.37</v>
      </c>
      <c r="C15" s="1">
        <f>'Data Sheet'!C90</f>
        <v>386.6</v>
      </c>
      <c r="D15" s="1">
        <f>'Data Sheet'!D90</f>
        <v>465.85</v>
      </c>
      <c r="E15" s="1">
        <f>'Data Sheet'!E90</f>
        <v>326.85000000000002</v>
      </c>
      <c r="F15" s="1">
        <f>'Data Sheet'!F90</f>
        <v>174.25</v>
      </c>
      <c r="G15" s="1">
        <f>'Data Sheet'!G90</f>
        <v>71.05</v>
      </c>
      <c r="H15" s="1">
        <f>'Data Sheet'!H90</f>
        <v>301.8</v>
      </c>
      <c r="I15" s="1">
        <f>'Data Sheet'!I90</f>
        <v>433.75</v>
      </c>
      <c r="J15" s="1">
        <f>'Data Sheet'!J90</f>
        <v>420.8</v>
      </c>
      <c r="K15" s="1">
        <f>'Data Sheet'!K90</f>
        <v>992.8</v>
      </c>
      <c r="L15" s="1">
        <f>'Data Sheet'!B8</f>
        <v>986.15</v>
      </c>
      <c r="M15" s="8">
        <f>M13*M14</f>
        <v>3138.1381064265343</v>
      </c>
      <c r="N15" s="9">
        <f>N13*N14</f>
        <v>342.19155115131031</v>
      </c>
    </row>
    <row r="17" spans="1:14" s="2" customFormat="1" x14ac:dyDescent="0.45">
      <c r="A17" s="2" t="s">
        <v>15</v>
      </c>
    </row>
    <row r="18" spans="1:14" x14ac:dyDescent="0.45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5.8656344808110331E-3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0.31728582730326516</v>
      </c>
      <c r="K18" s="5">
        <f>IF('Data Sheet'!K30&gt;0, 'Data Sheet'!K31/'Data Sheet'!K30, 0)</f>
        <v>0.14891036651062178</v>
      </c>
    </row>
    <row r="19" spans="1:14" x14ac:dyDescent="0.45">
      <c r="A19" t="s">
        <v>18</v>
      </c>
      <c r="B19" s="5">
        <f t="shared" ref="B19:L19" si="4">IF(B6&gt;0,B6/B4,0)</f>
        <v>0.14910625508580391</v>
      </c>
      <c r="C19" s="5">
        <f t="shared" ref="C19:K19" si="5">IF(C6&gt;0,C6/C4,0)</f>
        <v>0.14061845347443788</v>
      </c>
      <c r="D19" s="5">
        <f t="shared" si="5"/>
        <v>0.10971268723777323</v>
      </c>
      <c r="E19" s="5">
        <f t="shared" si="5"/>
        <v>0.10789788444182964</v>
      </c>
      <c r="F19" s="5">
        <f t="shared" si="5"/>
        <v>8.1686628795807403E-2</v>
      </c>
      <c r="G19" s="5">
        <f t="shared" si="5"/>
        <v>6.8898034485042142E-2</v>
      </c>
      <c r="H19" s="5">
        <f t="shared" si="5"/>
        <v>0.12925583904385499</v>
      </c>
      <c r="I19" s="5">
        <f t="shared" si="5"/>
        <v>8.8776328352276501E-2</v>
      </c>
      <c r="J19" s="5">
        <f t="shared" si="5"/>
        <v>9.1961958102531965E-2</v>
      </c>
      <c r="K19" s="5">
        <f t="shared" si="5"/>
        <v>0.13595470321509875</v>
      </c>
      <c r="L19" s="5">
        <f t="shared" si="4"/>
        <v>0.13995897772246402</v>
      </c>
    </row>
    <row r="20" spans="1:14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4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45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45">
      <c r="A23"/>
      <c r="B23"/>
      <c r="C23"/>
      <c r="D23"/>
      <c r="E23"/>
      <c r="F23"/>
      <c r="G23" t="s">
        <v>22</v>
      </c>
      <c r="H23" s="5">
        <f>IF(B4=0,"",POWER($K4/B4,1/9)-1)</f>
        <v>5.822016342524261E-2</v>
      </c>
      <c r="I23" s="5">
        <f>IF(D4=0,"",POWER($K4/D4,1/7)-1)</f>
        <v>7.1707397937264439E-2</v>
      </c>
      <c r="J23" s="5">
        <f>IF(F4=0,"",POWER($K4/F4,1/5)-1)</f>
        <v>7.7201196827101359E-2</v>
      </c>
      <c r="K23" s="5">
        <f>IF(H4=0,"",POWER($K4/H4, 1/3)-1)</f>
        <v>0.20579383686046926</v>
      </c>
      <c r="L23" s="5">
        <f>IF(ISERROR(MAX(IF(J4=0,"",(K4-J4)/J4),IF(K4=0,"",(L4-K4)/K4))),"",MAX(IF(J4=0,"",(K4-J4)/J4),IF(K4=0,"",(L4-K4)/K4)))</f>
        <v>0.26580803363974326</v>
      </c>
      <c r="M23" s="16">
        <f>MAX(K23:L23)</f>
        <v>0.26580803363974326</v>
      </c>
      <c r="N23" s="16">
        <f>MIN(H23:L23)</f>
        <v>5.822016342524261E-2</v>
      </c>
    </row>
    <row r="24" spans="1:14" x14ac:dyDescent="0.45">
      <c r="G24" t="s">
        <v>18</v>
      </c>
      <c r="H24" s="5">
        <f>IF(SUM(B4:$K$4)=0,"",SUMPRODUCT(B19:$K$19,B4:$K$4)/SUM(B4:$K$4))</f>
        <v>0.11091087169046339</v>
      </c>
      <c r="I24" s="5">
        <f>IF(SUM(E4:$K$4)=0,"",SUMPRODUCT(E19:$K$19,E4:$K$4)/SUM(E4:$K$4))</f>
        <v>0.10267722532288223</v>
      </c>
      <c r="J24" s="5">
        <f>IF(SUM(G4:$K$4)=0,"",SUMPRODUCT(G19:$K$19,G4:$K$4)/SUM(G4:$K$4))</f>
        <v>0.10573834122754838</v>
      </c>
      <c r="K24" s="5">
        <f>IF(SUM(I4:$K$4)=0, "", SUMPRODUCT(I19:$K$19,I4:$K$4)/SUM(I4:$K$4))</f>
        <v>0.10926192798000836</v>
      </c>
      <c r="L24" s="5">
        <f>L19</f>
        <v>0.13995897772246402</v>
      </c>
      <c r="M24" s="16">
        <f>MAX(K24:L24)</f>
        <v>0.13995897772246402</v>
      </c>
      <c r="N24" s="16">
        <f>MIN(H24:L24)</f>
        <v>0.10267722532288223</v>
      </c>
    </row>
    <row r="25" spans="1:14" x14ac:dyDescent="0.45">
      <c r="G25" t="s">
        <v>23</v>
      </c>
      <c r="H25" s="6">
        <f>IF(ISERROR(AVERAGEIF(B14:$L14,"&gt;0")),"",AVERAGEIF(B14:$L14,"&gt;0"))</f>
        <v>18.367076089849757</v>
      </c>
      <c r="I25" s="6">
        <f>IF(ISERROR(AVERAGEIF(E14:$L14,"&gt;0")),"",AVERAGEIF(E14:$L14,"&gt;0"))</f>
        <v>22.411991404112136</v>
      </c>
      <c r="J25" s="6">
        <f>IF(ISERROR(AVERAGEIF(G14:$L14,"&gt;0")),"",AVERAGEIF(G14:$L14,"&gt;0"))</f>
        <v>26.383105927539248</v>
      </c>
      <c r="K25" s="6">
        <f>IF(ISERROR(AVERAGEIF(I14:$L14,"&gt;0")),"",AVERAGEIF(I14:$L14,"&gt;0"))</f>
        <v>26.383105927539248</v>
      </c>
      <c r="L25" s="6">
        <f>L14</f>
        <v>10.751413048532807</v>
      </c>
      <c r="M25" s="1">
        <f>MAX(K25:L25)</f>
        <v>26.383105927539248</v>
      </c>
      <c r="N25" s="1">
        <f>MIN(H25:L25)</f>
        <v>10.751413048532807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96875" defaultRowHeight="14.25" x14ac:dyDescent="0.45"/>
  <cols>
    <col min="1" max="1" width="20.6640625" customWidth="1"/>
    <col min="2" max="11" width="13.46484375" bestFit="1" customWidth="1"/>
  </cols>
  <sheetData>
    <row r="1" spans="1:11" s="2" customFormat="1" x14ac:dyDescent="0.45">
      <c r="A1" s="2" t="str">
        <f>'Profit &amp; Loss'!A1</f>
        <v>TATA MOTORS LTD</v>
      </c>
      <c r="E1" t="str">
        <f>UPDATE</f>
        <v>Tata Motors</v>
      </c>
      <c r="J1" s="2" t="s">
        <v>1</v>
      </c>
    </row>
    <row r="3" spans="1:11" s="2" customFormat="1" x14ac:dyDescent="0.45">
      <c r="A3" s="11" t="s">
        <v>2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 x14ac:dyDescent="0.45">
      <c r="A4" s="2" t="s">
        <v>6</v>
      </c>
      <c r="B4" s="1">
        <f>'Data Sheet'!B42</f>
        <v>78439.06</v>
      </c>
      <c r="C4" s="1">
        <f>'Data Sheet'!C42</f>
        <v>71934.66</v>
      </c>
      <c r="D4" s="1">
        <f>'Data Sheet'!D42</f>
        <v>79611.37</v>
      </c>
      <c r="E4" s="1">
        <f>'Data Sheet'!E42</f>
        <v>88488.59</v>
      </c>
      <c r="F4" s="1">
        <f>'Data Sheet'!F42</f>
        <v>105932.35</v>
      </c>
      <c r="G4" s="1">
        <f>'Data Sheet'!G42</f>
        <v>102236</v>
      </c>
      <c r="H4" s="1">
        <f>'Data Sheet'!H42</f>
        <v>105128.24</v>
      </c>
      <c r="I4" s="1">
        <f>'Data Sheet'!I42</f>
        <v>110577.14</v>
      </c>
      <c r="J4" s="1">
        <f>'Data Sheet'!J42</f>
        <v>119986</v>
      </c>
      <c r="K4" s="1">
        <f>'Data Sheet'!K42</f>
        <v>108048</v>
      </c>
    </row>
    <row r="5" spans="1:11" x14ac:dyDescent="0.45">
      <c r="A5" t="s">
        <v>7</v>
      </c>
      <c r="B5" s="6">
        <f>'Data Sheet'!B43</f>
        <v>70156.27</v>
      </c>
      <c r="C5" s="6">
        <f>'Data Sheet'!C43</f>
        <v>69521.929999999993</v>
      </c>
      <c r="D5" s="6">
        <f>'Data Sheet'!D43</f>
        <v>74039.06</v>
      </c>
      <c r="E5" s="6">
        <f>'Data Sheet'!E43</f>
        <v>77668.350000000006</v>
      </c>
      <c r="F5" s="6">
        <f>'Data Sheet'!F43</f>
        <v>92817.95</v>
      </c>
      <c r="G5" s="6">
        <f>'Data Sheet'!G43</f>
        <v>89019</v>
      </c>
      <c r="H5" s="6">
        <f>'Data Sheet'!H43</f>
        <v>91361.3</v>
      </c>
      <c r="I5" s="6">
        <f>'Data Sheet'!I43</f>
        <v>95158.77</v>
      </c>
      <c r="J5" s="6">
        <f>'Data Sheet'!J43</f>
        <v>102851</v>
      </c>
      <c r="K5" s="6">
        <f>'Data Sheet'!K43</f>
        <v>92263</v>
      </c>
    </row>
    <row r="6" spans="1:11" s="2" customFormat="1" x14ac:dyDescent="0.45">
      <c r="A6" s="2" t="s">
        <v>8</v>
      </c>
      <c r="B6" s="1">
        <f>'Data Sheet'!B50</f>
        <v>8282.7900000000009</v>
      </c>
      <c r="C6" s="1">
        <f>'Data Sheet'!C50</f>
        <v>2412.73</v>
      </c>
      <c r="D6" s="1">
        <f>'Data Sheet'!D50</f>
        <v>5572.31</v>
      </c>
      <c r="E6" s="1">
        <f>'Data Sheet'!E50</f>
        <v>10820.24</v>
      </c>
      <c r="F6" s="1">
        <f>'Data Sheet'!F50</f>
        <v>13114.4</v>
      </c>
      <c r="G6" s="1">
        <f>'Data Sheet'!G50</f>
        <v>13217</v>
      </c>
      <c r="H6" s="1">
        <f>'Data Sheet'!H50</f>
        <v>13766.94</v>
      </c>
      <c r="I6" s="1">
        <f>'Data Sheet'!I50</f>
        <v>15418.37</v>
      </c>
      <c r="J6" s="1">
        <f>'Data Sheet'!J50</f>
        <v>17135</v>
      </c>
      <c r="K6" s="1">
        <f>'Data Sheet'!K50</f>
        <v>15785</v>
      </c>
    </row>
    <row r="7" spans="1:11" x14ac:dyDescent="0.45">
      <c r="A7" t="s">
        <v>9</v>
      </c>
      <c r="B7" s="6">
        <f>'Data Sheet'!B44</f>
        <v>188.74</v>
      </c>
      <c r="C7" s="6">
        <f>'Data Sheet'!C44</f>
        <v>2380.98</v>
      </c>
      <c r="D7" s="6">
        <f>'Data Sheet'!D44</f>
        <v>1351.14</v>
      </c>
      <c r="E7" s="6">
        <f>'Data Sheet'!E44</f>
        <v>1129.98</v>
      </c>
      <c r="F7" s="6">
        <f>'Data Sheet'!F44</f>
        <v>1452.86</v>
      </c>
      <c r="G7" s="6">
        <f>'Data Sheet'!G44</f>
        <v>895</v>
      </c>
      <c r="H7" s="6">
        <f>'Data Sheet'!H44</f>
        <v>1507.05</v>
      </c>
      <c r="I7" s="6">
        <f>'Data Sheet'!I44</f>
        <v>1603.76</v>
      </c>
      <c r="J7" s="6">
        <f>'Data Sheet'!J44</f>
        <v>1619</v>
      </c>
      <c r="K7" s="6">
        <f>'Data Sheet'!K44</f>
        <v>1747</v>
      </c>
    </row>
    <row r="8" spans="1:11" x14ac:dyDescent="0.45">
      <c r="A8" t="s">
        <v>10</v>
      </c>
      <c r="B8" s="6">
        <f>'Data Sheet'!B45</f>
        <v>6432.11</v>
      </c>
      <c r="C8" s="6">
        <f>'Data Sheet'!C45</f>
        <v>5841.04</v>
      </c>
      <c r="D8" s="6">
        <f>'Data Sheet'!D45</f>
        <v>5897.34</v>
      </c>
      <c r="E8" s="6">
        <f>'Data Sheet'!E45</f>
        <v>6071.78</v>
      </c>
      <c r="F8" s="6">
        <f>'Data Sheet'!F45</f>
        <v>7050.2</v>
      </c>
      <c r="G8" s="6">
        <f>'Data Sheet'!G45</f>
        <v>6633</v>
      </c>
      <c r="H8" s="6">
        <f>'Data Sheet'!H45</f>
        <v>6636.42</v>
      </c>
      <c r="I8" s="6">
        <f>'Data Sheet'!I45</f>
        <v>6850</v>
      </c>
      <c r="J8" s="6">
        <f>'Data Sheet'!J45</f>
        <v>7151</v>
      </c>
      <c r="K8" s="6">
        <f>'Data Sheet'!K45</f>
        <v>6574</v>
      </c>
    </row>
    <row r="9" spans="1:11" x14ac:dyDescent="0.45">
      <c r="A9" t="s">
        <v>11</v>
      </c>
      <c r="B9" s="6">
        <f>'Data Sheet'!B46</f>
        <v>2380.52</v>
      </c>
      <c r="C9" s="6">
        <f>'Data Sheet'!C46</f>
        <v>2420.7199999999998</v>
      </c>
      <c r="D9" s="6">
        <f>'Data Sheet'!D46</f>
        <v>2487.2600000000002</v>
      </c>
      <c r="E9" s="6">
        <f>'Data Sheet'!E46</f>
        <v>2675.83</v>
      </c>
      <c r="F9" s="6">
        <f>'Data Sheet'!F46</f>
        <v>2641.67</v>
      </c>
      <c r="G9" s="6">
        <f>'Data Sheet'!G46</f>
        <v>2615</v>
      </c>
      <c r="H9" s="6">
        <f>'Data Sheet'!H46</f>
        <v>2651.69</v>
      </c>
      <c r="I9" s="6">
        <f>'Data Sheet'!I46</f>
        <v>2484.91</v>
      </c>
      <c r="J9" s="6">
        <f>'Data Sheet'!J46</f>
        <v>2234</v>
      </c>
      <c r="K9" s="6">
        <f>'Data Sheet'!K46</f>
        <v>2088</v>
      </c>
    </row>
    <row r="10" spans="1:11" x14ac:dyDescent="0.45">
      <c r="A10" t="s">
        <v>12</v>
      </c>
      <c r="B10" s="6">
        <f>'Data Sheet'!B47</f>
        <v>-341.1</v>
      </c>
      <c r="C10" s="6">
        <f>'Data Sheet'!C47</f>
        <v>-3468.05</v>
      </c>
      <c r="D10" s="6">
        <f>'Data Sheet'!D47</f>
        <v>-1461.15</v>
      </c>
      <c r="E10" s="6">
        <f>'Data Sheet'!E47</f>
        <v>3202.61</v>
      </c>
      <c r="F10" s="6">
        <f>'Data Sheet'!F47</f>
        <v>4875.3900000000003</v>
      </c>
      <c r="G10" s="6">
        <f>'Data Sheet'!G47</f>
        <v>4864</v>
      </c>
      <c r="H10" s="6">
        <f>'Data Sheet'!H47</f>
        <v>5985.88</v>
      </c>
      <c r="I10" s="6">
        <f>'Data Sheet'!I47</f>
        <v>7687.22</v>
      </c>
      <c r="J10" s="6">
        <f>'Data Sheet'!J47</f>
        <v>9369</v>
      </c>
      <c r="K10" s="6">
        <f>'Data Sheet'!K47</f>
        <v>8870</v>
      </c>
    </row>
    <row r="11" spans="1:11" x14ac:dyDescent="0.45">
      <c r="A11" t="s">
        <v>13</v>
      </c>
      <c r="B11" s="6">
        <f>'Data Sheet'!B48</f>
        <v>758.22</v>
      </c>
      <c r="C11" s="6">
        <f>'Data Sheet'!C48</f>
        <v>1518.96</v>
      </c>
      <c r="D11" s="6">
        <f>'Data Sheet'!D48</f>
        <v>-457.08</v>
      </c>
      <c r="E11" s="6">
        <f>'Data Sheet'!E48</f>
        <v>262.83</v>
      </c>
      <c r="F11" s="6">
        <f>'Data Sheet'!F48</f>
        <v>-620.65</v>
      </c>
      <c r="G11" s="6">
        <f>'Data Sheet'!G48</f>
        <v>1563</v>
      </c>
      <c r="H11" s="6">
        <f>'Data Sheet'!H48</f>
        <v>2202.84</v>
      </c>
      <c r="I11" s="6">
        <f>'Data Sheet'!I48</f>
        <v>541.79</v>
      </c>
      <c r="J11" s="6">
        <f>'Data Sheet'!J48</f>
        <v>-8160</v>
      </c>
      <c r="K11" s="6">
        <f>'Data Sheet'!K48</f>
        <v>3178</v>
      </c>
    </row>
    <row r="12" spans="1:11" s="2" customFormat="1" x14ac:dyDescent="0.45">
      <c r="A12" s="2" t="s">
        <v>14</v>
      </c>
      <c r="B12" s="1">
        <f>'Data Sheet'!B49</f>
        <v>-1032.8399999999999</v>
      </c>
      <c r="C12" s="1">
        <f>'Data Sheet'!C49</f>
        <v>-5006.6000000000004</v>
      </c>
      <c r="D12" s="1">
        <f>'Data Sheet'!D49</f>
        <v>-944.61</v>
      </c>
      <c r="E12" s="1">
        <f>'Data Sheet'!E49</f>
        <v>2957.71</v>
      </c>
      <c r="F12" s="1">
        <f>'Data Sheet'!F49</f>
        <v>5407.79</v>
      </c>
      <c r="G12" s="1">
        <f>'Data Sheet'!G49</f>
        <v>3203</v>
      </c>
      <c r="H12" s="1">
        <f>'Data Sheet'!H49</f>
        <v>3764</v>
      </c>
      <c r="I12" s="1">
        <f>'Data Sheet'!I49</f>
        <v>7025.11</v>
      </c>
      <c r="J12" s="1">
        <f>'Data Sheet'!J49</f>
        <v>17407</v>
      </c>
      <c r="K12" s="1">
        <f>'Data Sheet'!K49</f>
        <v>5566</v>
      </c>
    </row>
    <row r="14" spans="1:11" s="2" customFormat="1" x14ac:dyDescent="0.45">
      <c r="A14" s="2" t="s">
        <v>18</v>
      </c>
      <c r="B14" s="10">
        <f>IF(B4&gt;0,B6/B4,"")</f>
        <v>0.10559522258425842</v>
      </c>
      <c r="C14" s="10">
        <f t="shared" ref="C14:K14" si="0">IF(C4&gt;0,C6/C4,"")</f>
        <v>3.3540576962482339E-2</v>
      </c>
      <c r="D14" s="10">
        <f t="shared" si="0"/>
        <v>6.9993896600447914E-2</v>
      </c>
      <c r="E14" s="10">
        <f t="shared" si="0"/>
        <v>0.12227836379808968</v>
      </c>
      <c r="F14" s="10">
        <f t="shared" si="0"/>
        <v>0.1237997646611257</v>
      </c>
      <c r="G14" s="10">
        <f t="shared" si="0"/>
        <v>0.12927931452717242</v>
      </c>
      <c r="H14" s="10">
        <f t="shared" si="0"/>
        <v>0.1309537760738694</v>
      </c>
      <c r="I14" s="10">
        <f t="shared" si="0"/>
        <v>0.13943542037712317</v>
      </c>
      <c r="J14" s="10">
        <f t="shared" si="0"/>
        <v>0.14280832763822446</v>
      </c>
      <c r="K14" s="10">
        <f t="shared" si="0"/>
        <v>0.14609247741744411</v>
      </c>
    </row>
    <row r="22" s="23" customFormat="1" x14ac:dyDescent="0.4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K24" sqref="K24"/>
      <selection pane="topRight" activeCell="K24" sqref="K24"/>
      <selection pane="bottomLeft" activeCell="K24" sqref="K24"/>
      <selection pane="bottomRight" activeCell="K24" sqref="K24"/>
    </sheetView>
  </sheetViews>
  <sheetFormatPr defaultColWidth="8.796875" defaultRowHeight="14.25" x14ac:dyDescent="0.45"/>
  <cols>
    <col min="1" max="1" width="22.796875" bestFit="1" customWidth="1"/>
    <col min="2" max="2" width="13.46484375" customWidth="1"/>
    <col min="3" max="11" width="15.46484375" customWidth="1"/>
  </cols>
  <sheetData>
    <row r="1" spans="1:11" s="2" customFormat="1" x14ac:dyDescent="0.45">
      <c r="A1" s="2" t="str">
        <f>'Profit &amp; Loss'!A1</f>
        <v>TATA MOTORS LTD</v>
      </c>
      <c r="E1" t="str">
        <f>UPDATE</f>
        <v>Tata Motors</v>
      </c>
      <c r="G1"/>
      <c r="J1" s="2" t="s">
        <v>1</v>
      </c>
    </row>
    <row r="2" spans="1:11" x14ac:dyDescent="0.45">
      <c r="G2" s="2"/>
      <c r="H2" s="2"/>
    </row>
    <row r="3" spans="1:11" x14ac:dyDescent="0.45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45">
      <c r="A4" t="s">
        <v>24</v>
      </c>
      <c r="B4" s="14">
        <f>'Data Sheet'!B57</f>
        <v>643.78</v>
      </c>
      <c r="C4" s="14">
        <f>'Data Sheet'!C57</f>
        <v>679.18</v>
      </c>
      <c r="D4" s="14">
        <f>'Data Sheet'!D57</f>
        <v>679.22</v>
      </c>
      <c r="E4" s="14">
        <f>'Data Sheet'!E57</f>
        <v>679.22</v>
      </c>
      <c r="F4" s="14">
        <f>'Data Sheet'!F57</f>
        <v>679.22</v>
      </c>
      <c r="G4" s="14">
        <f>'Data Sheet'!G57</f>
        <v>719.54</v>
      </c>
      <c r="H4" s="14">
        <f>'Data Sheet'!H57</f>
        <v>765.81</v>
      </c>
      <c r="I4" s="14">
        <f>'Data Sheet'!I57</f>
        <v>765.88</v>
      </c>
      <c r="J4" s="14">
        <f>'Data Sheet'!J57</f>
        <v>766.02</v>
      </c>
      <c r="K4" s="14">
        <f>'Data Sheet'!K57</f>
        <v>766.5</v>
      </c>
    </row>
    <row r="5" spans="1:11" x14ac:dyDescent="0.45">
      <c r="A5" t="s">
        <v>25</v>
      </c>
      <c r="B5" s="14">
        <f>'Data Sheet'!B58</f>
        <v>55618.14</v>
      </c>
      <c r="C5" s="14">
        <f>'Data Sheet'!C58</f>
        <v>78273.23</v>
      </c>
      <c r="D5" s="14">
        <f>'Data Sheet'!D58</f>
        <v>57382.67</v>
      </c>
      <c r="E5" s="14">
        <f>'Data Sheet'!E58</f>
        <v>94748.69</v>
      </c>
      <c r="F5" s="14">
        <f>'Data Sheet'!F58</f>
        <v>59500.34</v>
      </c>
      <c r="G5" s="14">
        <f>'Data Sheet'!G58</f>
        <v>61491.49</v>
      </c>
      <c r="H5" s="14">
        <f>'Data Sheet'!H58</f>
        <v>54480.91</v>
      </c>
      <c r="I5" s="14">
        <f>'Data Sheet'!I58</f>
        <v>43795.360000000001</v>
      </c>
      <c r="J5" s="14">
        <f>'Data Sheet'!J58</f>
        <v>44555.77</v>
      </c>
      <c r="K5" s="14">
        <f>'Data Sheet'!K58</f>
        <v>84151.52</v>
      </c>
    </row>
    <row r="6" spans="1:11" x14ac:dyDescent="0.45">
      <c r="A6" t="s">
        <v>71</v>
      </c>
      <c r="B6" s="14">
        <f>'Data Sheet'!B59</f>
        <v>73610.39</v>
      </c>
      <c r="C6" s="14">
        <f>'Data Sheet'!C59</f>
        <v>69359.960000000006</v>
      </c>
      <c r="D6" s="14">
        <f>'Data Sheet'!D59</f>
        <v>78603.98</v>
      </c>
      <c r="E6" s="14">
        <f>'Data Sheet'!E59</f>
        <v>88950.47</v>
      </c>
      <c r="F6" s="14">
        <f>'Data Sheet'!F59</f>
        <v>106175.34</v>
      </c>
      <c r="G6" s="14">
        <f>'Data Sheet'!G59</f>
        <v>124787.64</v>
      </c>
      <c r="H6" s="14">
        <f>'Data Sheet'!H59</f>
        <v>142130.57</v>
      </c>
      <c r="I6" s="14">
        <f>'Data Sheet'!I59</f>
        <v>146449.03</v>
      </c>
      <c r="J6" s="14">
        <f>'Data Sheet'!J59</f>
        <v>134113.44</v>
      </c>
      <c r="K6" s="14">
        <f>'Data Sheet'!K59</f>
        <v>107262.5</v>
      </c>
    </row>
    <row r="7" spans="1:11" x14ac:dyDescent="0.45">
      <c r="A7" t="s">
        <v>72</v>
      </c>
      <c r="B7" s="14">
        <f>'Data Sheet'!B60</f>
        <v>107442.48</v>
      </c>
      <c r="C7" s="14">
        <f>'Data Sheet'!C60</f>
        <v>114871.75</v>
      </c>
      <c r="D7" s="14">
        <f>'Data Sheet'!D60</f>
        <v>135914.49</v>
      </c>
      <c r="E7" s="14">
        <f>'Data Sheet'!E60</f>
        <v>142813.43</v>
      </c>
      <c r="F7" s="14">
        <f>'Data Sheet'!F60</f>
        <v>139348.59</v>
      </c>
      <c r="G7" s="14">
        <f>'Data Sheet'!G60</f>
        <v>133180.72</v>
      </c>
      <c r="H7" s="14">
        <f>'Data Sheet'!H60</f>
        <v>144192.62</v>
      </c>
      <c r="I7" s="14">
        <f>'Data Sheet'!I60</f>
        <v>138051.22</v>
      </c>
      <c r="J7" s="14">
        <f>'Data Sheet'!J60</f>
        <v>155239.20000000001</v>
      </c>
      <c r="K7" s="14">
        <f>'Data Sheet'!K60</f>
        <v>177340.09</v>
      </c>
    </row>
    <row r="8" spans="1:11" s="2" customFormat="1" x14ac:dyDescent="0.45">
      <c r="A8" s="2" t="s">
        <v>26</v>
      </c>
      <c r="B8" s="15">
        <f>'Data Sheet'!B61</f>
        <v>237314.79</v>
      </c>
      <c r="C8" s="15">
        <f>'Data Sheet'!C61</f>
        <v>263184.12</v>
      </c>
      <c r="D8" s="15">
        <f>'Data Sheet'!D61</f>
        <v>272580.36</v>
      </c>
      <c r="E8" s="15">
        <f>'Data Sheet'!E61</f>
        <v>327191.81</v>
      </c>
      <c r="F8" s="15">
        <f>'Data Sheet'!F61</f>
        <v>305703.49</v>
      </c>
      <c r="G8" s="15">
        <f>'Data Sheet'!G61</f>
        <v>320179.39</v>
      </c>
      <c r="H8" s="15">
        <f>'Data Sheet'!H61</f>
        <v>341569.91</v>
      </c>
      <c r="I8" s="15">
        <f>'Data Sheet'!I61</f>
        <v>329061.49</v>
      </c>
      <c r="J8" s="15">
        <f>'Data Sheet'!J61</f>
        <v>334674.43</v>
      </c>
      <c r="K8" s="15">
        <f>'Data Sheet'!K61</f>
        <v>369520.61</v>
      </c>
    </row>
    <row r="9" spans="1:11" s="2" customFormat="1" x14ac:dyDescent="0.4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45">
      <c r="A10" t="s">
        <v>27</v>
      </c>
      <c r="B10" s="14">
        <f>'Data Sheet'!B62</f>
        <v>88479.49</v>
      </c>
      <c r="C10" s="14">
        <f>'Data Sheet'!C62</f>
        <v>107231.76</v>
      </c>
      <c r="D10" s="14">
        <f>'Data Sheet'!D62</f>
        <v>95944.08</v>
      </c>
      <c r="E10" s="14">
        <f>'Data Sheet'!E62</f>
        <v>121413.86</v>
      </c>
      <c r="F10" s="14">
        <f>'Data Sheet'!F62</f>
        <v>111234.47</v>
      </c>
      <c r="G10" s="14">
        <f>'Data Sheet'!G62</f>
        <v>127107.14</v>
      </c>
      <c r="H10" s="14">
        <f>'Data Sheet'!H62</f>
        <v>138707.60999999999</v>
      </c>
      <c r="I10" s="14">
        <f>'Data Sheet'!I62</f>
        <v>138855.45000000001</v>
      </c>
      <c r="J10" s="14">
        <f>'Data Sheet'!J62</f>
        <v>132079.76</v>
      </c>
      <c r="K10" s="14">
        <f>'Data Sheet'!K62</f>
        <v>121285.46</v>
      </c>
    </row>
    <row r="11" spans="1:11" x14ac:dyDescent="0.45">
      <c r="A11" t="s">
        <v>28</v>
      </c>
      <c r="B11" s="14">
        <f>'Data Sheet'!B63</f>
        <v>28640.09</v>
      </c>
      <c r="C11" s="14">
        <f>'Data Sheet'!C63</f>
        <v>25918.94</v>
      </c>
      <c r="D11" s="14">
        <f>'Data Sheet'!D63</f>
        <v>33698.839999999997</v>
      </c>
      <c r="E11" s="14">
        <f>'Data Sheet'!E63</f>
        <v>40033.5</v>
      </c>
      <c r="F11" s="14">
        <f>'Data Sheet'!F63</f>
        <v>31883.84</v>
      </c>
      <c r="G11" s="14">
        <f>'Data Sheet'!G63</f>
        <v>35622.29</v>
      </c>
      <c r="H11" s="14">
        <f>'Data Sheet'!H63</f>
        <v>20963.93</v>
      </c>
      <c r="I11" s="14">
        <f>'Data Sheet'!I63</f>
        <v>10251.09</v>
      </c>
      <c r="J11" s="14">
        <f>'Data Sheet'!J63</f>
        <v>14274.5</v>
      </c>
      <c r="K11" s="14">
        <f>'Data Sheet'!K63</f>
        <v>35698.43</v>
      </c>
    </row>
    <row r="12" spans="1:11" x14ac:dyDescent="0.45">
      <c r="A12" t="s">
        <v>29</v>
      </c>
      <c r="B12" s="14">
        <f>'Data Sheet'!B64</f>
        <v>15336.74</v>
      </c>
      <c r="C12" s="14">
        <f>'Data Sheet'!C64</f>
        <v>23767.02</v>
      </c>
      <c r="D12" s="14">
        <f>'Data Sheet'!D64</f>
        <v>20337.919999999998</v>
      </c>
      <c r="E12" s="14">
        <f>'Data Sheet'!E64</f>
        <v>20812.75</v>
      </c>
      <c r="F12" s="14">
        <f>'Data Sheet'!F64</f>
        <v>15770.72</v>
      </c>
      <c r="G12" s="14">
        <f>'Data Sheet'!G64</f>
        <v>16308.48</v>
      </c>
      <c r="H12" s="14">
        <f>'Data Sheet'!H64</f>
        <v>24620.28</v>
      </c>
      <c r="I12" s="14">
        <f>'Data Sheet'!I64</f>
        <v>29379.53</v>
      </c>
      <c r="J12" s="14">
        <f>'Data Sheet'!J64</f>
        <v>26379.16</v>
      </c>
      <c r="K12" s="14">
        <f>'Data Sheet'!K64</f>
        <v>22971.07</v>
      </c>
    </row>
    <row r="13" spans="1:11" x14ac:dyDescent="0.45">
      <c r="A13" t="s">
        <v>73</v>
      </c>
      <c r="B13" s="14">
        <f>'Data Sheet'!B65</f>
        <v>104858.47</v>
      </c>
      <c r="C13" s="14">
        <f>'Data Sheet'!C65</f>
        <v>106266.4</v>
      </c>
      <c r="D13" s="14">
        <f>'Data Sheet'!D65</f>
        <v>122599.52</v>
      </c>
      <c r="E13" s="14">
        <f>'Data Sheet'!E65</f>
        <v>144931.70000000001</v>
      </c>
      <c r="F13" s="14">
        <f>'Data Sheet'!F65</f>
        <v>146814.46</v>
      </c>
      <c r="G13" s="14">
        <f>'Data Sheet'!G65</f>
        <v>141141.48000000001</v>
      </c>
      <c r="H13" s="14">
        <f>'Data Sheet'!H65</f>
        <v>157278.09</v>
      </c>
      <c r="I13" s="14">
        <f>'Data Sheet'!I65</f>
        <v>150575.42000000001</v>
      </c>
      <c r="J13" s="14">
        <f>'Data Sheet'!J65</f>
        <v>161941.01</v>
      </c>
      <c r="K13" s="14">
        <f>'Data Sheet'!K65</f>
        <v>189565.65</v>
      </c>
    </row>
    <row r="14" spans="1:11" s="2" customFormat="1" x14ac:dyDescent="0.45">
      <c r="A14" s="2" t="s">
        <v>26</v>
      </c>
      <c r="B14" s="14">
        <f>'Data Sheet'!B66</f>
        <v>237314.79</v>
      </c>
      <c r="C14" s="14">
        <f>'Data Sheet'!C66</f>
        <v>263184.12</v>
      </c>
      <c r="D14" s="14">
        <f>'Data Sheet'!D66</f>
        <v>272580.36</v>
      </c>
      <c r="E14" s="14">
        <f>'Data Sheet'!E66</f>
        <v>327191.81</v>
      </c>
      <c r="F14" s="14">
        <f>'Data Sheet'!F66</f>
        <v>305703.49</v>
      </c>
      <c r="G14" s="14">
        <f>'Data Sheet'!G66</f>
        <v>320179.39</v>
      </c>
      <c r="H14" s="14">
        <f>'Data Sheet'!H66</f>
        <v>341569.91</v>
      </c>
      <c r="I14" s="14">
        <f>'Data Sheet'!I66</f>
        <v>329061.49</v>
      </c>
      <c r="J14" s="14">
        <f>'Data Sheet'!J66</f>
        <v>334674.43</v>
      </c>
      <c r="K14" s="14">
        <f>'Data Sheet'!K66</f>
        <v>369520.61</v>
      </c>
    </row>
    <row r="15" spans="1:11" x14ac:dyDescent="0.4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45">
      <c r="A16" t="s">
        <v>30</v>
      </c>
      <c r="B16" s="4">
        <f>B13-B7</f>
        <v>-2584.0099999999948</v>
      </c>
      <c r="C16" s="4">
        <f t="shared" ref="C16:K16" si="0">C13-C7</f>
        <v>-8605.3500000000058</v>
      </c>
      <c r="D16" s="4">
        <f t="shared" si="0"/>
        <v>-13314.969999999987</v>
      </c>
      <c r="E16" s="4">
        <f t="shared" si="0"/>
        <v>2118.2700000000186</v>
      </c>
      <c r="F16" s="4">
        <f t="shared" si="0"/>
        <v>7465.8699999999953</v>
      </c>
      <c r="G16" s="4">
        <f t="shared" si="0"/>
        <v>7960.7600000000093</v>
      </c>
      <c r="H16" s="4">
        <f t="shared" si="0"/>
        <v>13085.470000000001</v>
      </c>
      <c r="I16" s="4">
        <f t="shared" si="0"/>
        <v>12524.200000000012</v>
      </c>
      <c r="J16" s="4">
        <f t="shared" si="0"/>
        <v>6701.8099999999977</v>
      </c>
      <c r="K16" s="4">
        <f t="shared" si="0"/>
        <v>12225.559999999998</v>
      </c>
    </row>
    <row r="17" spans="1:11" x14ac:dyDescent="0.45">
      <c r="A17" t="s">
        <v>44</v>
      </c>
      <c r="B17" s="4">
        <f>'Data Sheet'!B67</f>
        <v>12579.2</v>
      </c>
      <c r="C17" s="4">
        <f>'Data Sheet'!C67</f>
        <v>13570.91</v>
      </c>
      <c r="D17" s="4">
        <f>'Data Sheet'!D67</f>
        <v>14075.55</v>
      </c>
      <c r="E17" s="4">
        <f>'Data Sheet'!E67</f>
        <v>19893.3</v>
      </c>
      <c r="F17" s="4">
        <f>'Data Sheet'!F67</f>
        <v>18996.169999999998</v>
      </c>
      <c r="G17" s="4">
        <f>'Data Sheet'!G67</f>
        <v>11172.69</v>
      </c>
      <c r="H17" s="4">
        <f>'Data Sheet'!H67</f>
        <v>12679.08</v>
      </c>
      <c r="I17" s="4">
        <f>'Data Sheet'!I67</f>
        <v>12442.12</v>
      </c>
      <c r="J17" s="4">
        <f>'Data Sheet'!J67</f>
        <v>15737.97</v>
      </c>
      <c r="K17" s="4">
        <f>'Data Sheet'!K67</f>
        <v>16951.810000000001</v>
      </c>
    </row>
    <row r="18" spans="1:11" x14ac:dyDescent="0.45">
      <c r="A18" t="s">
        <v>45</v>
      </c>
      <c r="B18" s="4">
        <f>'Data Sheet'!B68</f>
        <v>29272.34</v>
      </c>
      <c r="C18" s="4">
        <f>'Data Sheet'!C68</f>
        <v>32655.73</v>
      </c>
      <c r="D18" s="4">
        <f>'Data Sheet'!D68</f>
        <v>35085.31</v>
      </c>
      <c r="E18" s="4">
        <f>'Data Sheet'!E68</f>
        <v>42137.63</v>
      </c>
      <c r="F18" s="4">
        <f>'Data Sheet'!F68</f>
        <v>39013.730000000003</v>
      </c>
      <c r="G18" s="4">
        <f>'Data Sheet'!G68</f>
        <v>37456.879999999997</v>
      </c>
      <c r="H18" s="4">
        <f>'Data Sheet'!H68</f>
        <v>36088.589999999997</v>
      </c>
      <c r="I18" s="4">
        <f>'Data Sheet'!I68</f>
        <v>35240.339999999997</v>
      </c>
      <c r="J18" s="4">
        <f>'Data Sheet'!J68</f>
        <v>40755.39</v>
      </c>
      <c r="K18" s="4">
        <f>'Data Sheet'!K68</f>
        <v>47788.29</v>
      </c>
    </row>
    <row r="20" spans="1:11" x14ac:dyDescent="0.45">
      <c r="A20" t="s">
        <v>46</v>
      </c>
      <c r="B20" s="4">
        <f>IF('Profit &amp; Loss'!B4&gt;0,'Balance Sheet'!B17/('Profit &amp; Loss'!B4/365),0)</f>
        <v>17.447278447423685</v>
      </c>
      <c r="C20" s="4">
        <f>IF('Profit &amp; Loss'!C4&gt;0,'Balance Sheet'!C17/('Profit &amp; Loss'!C4/365),0)</f>
        <v>18.141226776772818</v>
      </c>
      <c r="D20" s="4">
        <f>IF('Profit &amp; Loss'!D4&gt;0,'Balance Sheet'!D17/('Profit &amp; Loss'!D4/365),0)</f>
        <v>19.049753180019717</v>
      </c>
      <c r="E20" s="4">
        <f>IF('Profit &amp; Loss'!E4&gt;0,'Balance Sheet'!E17/('Profit &amp; Loss'!E4/365),0)</f>
        <v>24.904964999543132</v>
      </c>
      <c r="F20" s="4">
        <f>IF('Profit &amp; Loss'!F4&gt;0,'Balance Sheet'!F17/('Profit &amp; Loss'!F4/365),0)</f>
        <v>22.963631157878556</v>
      </c>
      <c r="G20" s="4">
        <f>IF('Profit &amp; Loss'!G4&gt;0,'Balance Sheet'!G17/('Profit &amp; Loss'!G4/365),0)</f>
        <v>15.62057517051977</v>
      </c>
      <c r="H20" s="4">
        <f>IF('Profit &amp; Loss'!H4&gt;0,'Balance Sheet'!H17/('Profit &amp; Loss'!H4/365),0)</f>
        <v>18.526667193766084</v>
      </c>
      <c r="I20" s="4">
        <f>IF('Profit &amp; Loss'!I4&gt;0,'Balance Sheet'!I17/('Profit &amp; Loss'!I4/365),0)</f>
        <v>16.309264717046958</v>
      </c>
      <c r="J20" s="4">
        <f>IF('Profit &amp; Loss'!J4&gt;0,'Balance Sheet'!J17/('Profit &amp; Loss'!J4/365),0)</f>
        <v>16.603778823163381</v>
      </c>
      <c r="K20" s="4">
        <f>IF('Profit &amp; Loss'!K4&gt;0,'Balance Sheet'!K17/('Profit &amp; Loss'!K4/365),0)</f>
        <v>14.128838301348189</v>
      </c>
    </row>
    <row r="21" spans="1:11" x14ac:dyDescent="0.45">
      <c r="A21" t="s">
        <v>47</v>
      </c>
      <c r="B21" s="4">
        <f>IF('Balance Sheet'!B18&gt;0,'Profit &amp; Loss'!B4/'Balance Sheet'!B18,0)</f>
        <v>8.9900219797938927</v>
      </c>
      <c r="C21" s="4">
        <f>IF('Balance Sheet'!C18&gt;0,'Profit &amp; Loss'!C4/'Balance Sheet'!C18,0)</f>
        <v>8.3613381173839922</v>
      </c>
      <c r="D21" s="4">
        <f>IF('Balance Sheet'!D18&gt;0,'Profit &amp; Loss'!D4/'Balance Sheet'!D18,0)</f>
        <v>7.6867643466738649</v>
      </c>
      <c r="E21" s="4">
        <f>IF('Balance Sheet'!E18&gt;0,'Profit &amp; Loss'!E4/'Balance Sheet'!E18,0)</f>
        <v>6.9190051742350009</v>
      </c>
      <c r="F21" s="4">
        <f>IF('Balance Sheet'!F18&gt;0,'Profit &amp; Loss'!F4/'Balance Sheet'!F18,0)</f>
        <v>7.7392856309817084</v>
      </c>
      <c r="G21" s="4">
        <f>IF('Balance Sheet'!G18&gt;0,'Profit &amp; Loss'!G4/'Balance Sheet'!G18,0)</f>
        <v>6.9698269049637886</v>
      </c>
      <c r="H21" s="4">
        <f>IF('Balance Sheet'!H18&gt;0,'Profit &amp; Loss'!H4/'Balance Sheet'!H18,0)</f>
        <v>6.9217098811563442</v>
      </c>
      <c r="I21" s="4">
        <f>IF('Balance Sheet'!I18&gt;0,'Profit &amp; Loss'!I4/'Balance Sheet'!I18,0)</f>
        <v>7.9015588385356104</v>
      </c>
      <c r="J21" s="4">
        <f>IF('Balance Sheet'!J18&gt;0,'Profit &amp; Loss'!J4/'Balance Sheet'!J18,0)</f>
        <v>8.4888641723217457</v>
      </c>
      <c r="K21" s="4">
        <f>IF('Balance Sheet'!K18&gt;0,'Profit &amp; Loss'!K4/'Balance Sheet'!K18,0)</f>
        <v>9.1639137956181322</v>
      </c>
    </row>
    <row r="23" spans="1:11" s="2" customFormat="1" x14ac:dyDescent="0.45">
      <c r="A23" s="2" t="s">
        <v>59</v>
      </c>
      <c r="B23" s="10">
        <f>IF(SUM('Balance Sheet'!B4:B5)&gt;0,'Profit &amp; Loss'!B12/SUM('Balance Sheet'!B4:B5),"")</f>
        <v>0.24859247604774243</v>
      </c>
      <c r="C23" s="10">
        <f>IF(SUM('Balance Sheet'!C4:C5)&gt;0,'Profit &amp; Loss'!C12/SUM('Balance Sheet'!C4:C5),"")</f>
        <v>0.14666189417143824</v>
      </c>
      <c r="D23" s="10">
        <f>IF(SUM('Balance Sheet'!D4:D5)&gt;0,'Profit &amp; Loss'!D12/SUM('Balance Sheet'!D4:D5),"")</f>
        <v>0.1283864510783235</v>
      </c>
      <c r="E23" s="10">
        <f>IF(SUM('Balance Sheet'!E4:E5)&gt;0,'Profit &amp; Loss'!E12/SUM('Balance Sheet'!E4:E5),"")</f>
        <v>9.4195817554843228E-2</v>
      </c>
      <c r="F23" s="10">
        <f>IF(SUM('Balance Sheet'!F4:F5)&gt;0,'Profit &amp; Loss'!F12/SUM('Balance Sheet'!F4:F5),"")</f>
        <v>-0.47900366835516911</v>
      </c>
      <c r="G23" s="10">
        <f>IF(SUM('Balance Sheet'!G4:G5)&gt;0,'Profit &amp; Loss'!G12/SUM('Balance Sheet'!G4:G5),"")</f>
        <v>-0.19403070484446247</v>
      </c>
      <c r="H23" s="10">
        <f>IF(SUM('Balance Sheet'!H4:H5)&gt;0,'Profit &amp; Loss'!H12/SUM('Balance Sheet'!H4:H5),"")</f>
        <v>-0.24347852687001145</v>
      </c>
      <c r="I23" s="10">
        <f>IF(SUM('Balance Sheet'!I4:I5)&gt;0,'Profit &amp; Loss'!I12/SUM('Balance Sheet'!I4:I5),"")</f>
        <v>-0.25675833975894746</v>
      </c>
      <c r="J23" s="10">
        <f>IF(SUM('Balance Sheet'!J4:J5)&gt;0,'Profit &amp; Loss'!J12/SUM('Balance Sheet'!J4:J5),"")</f>
        <v>5.326996131441411E-2</v>
      </c>
      <c r="K23" s="10">
        <f>IF(SUM('Balance Sheet'!K4:K5)&gt;0,'Profit &amp; Loss'!K12/SUM('Balance Sheet'!K4:K5),"")</f>
        <v>0.36975767922992081</v>
      </c>
    </row>
    <row r="24" spans="1:11" s="2" customFormat="1" x14ac:dyDescent="0.45">
      <c r="A24" s="2" t="s">
        <v>60</v>
      </c>
      <c r="B24" s="10"/>
      <c r="C24" s="10">
        <f>IF((B4+B5+B6+C4+C5+C6)&gt;0,('Profit &amp; Loss'!C10+'Profit &amp; Loss'!C9)*2/(B4+B5+B6+C4+C5+C6),"")</f>
        <v>0.1367066655144345</v>
      </c>
      <c r="D24" s="10">
        <f>IF((C4+C5+C6+D4+D5+D6)&gt;0,('Profit &amp; Loss'!D10+'Profit &amp; Loss'!D9)*2/(C4+C5+C6+D4+D5+D6),"")</f>
        <v>9.5114630506525702E-2</v>
      </c>
      <c r="E24" s="10">
        <f>IF((D4+D5+D6+E4+E5+E6)&gt;0,('Profit &amp; Loss'!E10+'Profit &amp; Loss'!E9)*2/(D4+D5+D6+E4+E5+E6),"")</f>
        <v>9.8658175625322669E-2</v>
      </c>
      <c r="F24" s="10">
        <f>IF((E4+E5+E6+F4+F5+F6)&gt;0,('Profit &amp; Loss'!F10+'Profit &amp; Loss'!F9)*2/(E4+E5+E6+F4+F5+F6),"")</f>
        <v>-0.14605143828951733</v>
      </c>
      <c r="G24" s="10">
        <f>IF((F4+F5+F6+G4+G5+G6)&gt;0,('Profit &amp; Loss'!G10+'Profit &amp; Loss'!G9)*2/(F4+F5+F6+G4+G5+G6),"")</f>
        <v>-1.888561646624937E-2</v>
      </c>
      <c r="H24" s="10">
        <f>IF((G4+G5+G6+H4+H5+H6)&gt;0,('Profit &amp; Loss'!H10+'Profit &amp; Loss'!H9)*2/(G4+G5+G6+H4+H5+H6),"")</f>
        <v>-1.2368671547513017E-2</v>
      </c>
      <c r="I24" s="10">
        <f>IF((H4+H5+H6+I4+I5+I6)&gt;0,('Profit &amp; Loss'!I10+'Profit &amp; Loss'!I9)*2/(H4+H5+H6+I4+I5+I6),"")</f>
        <v>1.1887352931695343E-2</v>
      </c>
      <c r="J24" s="10">
        <f>IF((I4+I5+I6+J4+J5+J6)&gt;0,('Profit &amp; Loss'!J10+'Profit &amp; Loss'!J9)*2/(I4+I5+I6+J4+J5+J6),"")</f>
        <v>7.3529898460097373E-2</v>
      </c>
      <c r="K24" s="10">
        <f>IF((J4+J5+J6+K4+K5+K6)&gt;0,('Profit &amp; Loss'!K10+'Profit &amp; Loss'!K9)*2/(J4+J5+J6+K4+K5+K6),"")</f>
        <v>0.20419409026662622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activeCell="K24" sqref="K24"/>
      <selection pane="topRight" activeCell="K24" sqref="K24"/>
      <selection pane="bottomLeft" activeCell="K24" sqref="K24"/>
      <selection pane="bottomRight" activeCell="K24" sqref="K24"/>
    </sheetView>
  </sheetViews>
  <sheetFormatPr defaultColWidth="8.796875" defaultRowHeight="14.25" x14ac:dyDescent="0.45"/>
  <cols>
    <col min="1" max="1" width="26.796875" bestFit="1" customWidth="1"/>
    <col min="2" max="6" width="13.46484375" customWidth="1"/>
    <col min="7" max="11" width="13.46484375" bestFit="1" customWidth="1"/>
  </cols>
  <sheetData>
    <row r="1" spans="1:11" s="2" customFormat="1" x14ac:dyDescent="0.45">
      <c r="A1" s="2" t="str">
        <f>'Balance Sheet'!A1</f>
        <v>TATA MOTORS LTD</v>
      </c>
      <c r="E1" t="str">
        <f>UPDATE</f>
        <v>Tata Motors</v>
      </c>
      <c r="F1"/>
      <c r="J1" s="2" t="s">
        <v>1</v>
      </c>
    </row>
    <row r="3" spans="1:11" s="2" customFormat="1" x14ac:dyDescent="0.45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45">
      <c r="A4" s="2" t="s">
        <v>32</v>
      </c>
      <c r="B4" s="1">
        <f>'Data Sheet'!B82</f>
        <v>35531.26</v>
      </c>
      <c r="C4" s="1">
        <f>'Data Sheet'!C82</f>
        <v>37899.54</v>
      </c>
      <c r="D4" s="1">
        <f>'Data Sheet'!D82</f>
        <v>30199.25</v>
      </c>
      <c r="E4" s="1">
        <f>'Data Sheet'!E82</f>
        <v>23857.42</v>
      </c>
      <c r="F4" s="1">
        <f>'Data Sheet'!F82</f>
        <v>18890.75</v>
      </c>
      <c r="G4" s="1">
        <f>'Data Sheet'!G82</f>
        <v>26632.94</v>
      </c>
      <c r="H4" s="1">
        <f>'Data Sheet'!H82</f>
        <v>29000.51</v>
      </c>
      <c r="I4" s="1">
        <f>'Data Sheet'!I82</f>
        <v>14282.83</v>
      </c>
      <c r="J4" s="1">
        <f>'Data Sheet'!J82</f>
        <v>35388.01</v>
      </c>
      <c r="K4" s="1">
        <f>'Data Sheet'!K82</f>
        <v>67915.360000000001</v>
      </c>
    </row>
    <row r="5" spans="1:11" x14ac:dyDescent="0.45">
      <c r="A5" t="s">
        <v>33</v>
      </c>
      <c r="B5" s="6">
        <f>'Data Sheet'!B83</f>
        <v>-36232.35</v>
      </c>
      <c r="C5" s="6">
        <f>'Data Sheet'!C83</f>
        <v>-36693.9</v>
      </c>
      <c r="D5" s="6">
        <f>'Data Sheet'!D83</f>
        <v>-39571.4</v>
      </c>
      <c r="E5" s="6">
        <f>'Data Sheet'!E83</f>
        <v>-25139.14</v>
      </c>
      <c r="F5" s="6">
        <f>'Data Sheet'!F83</f>
        <v>-20878.07</v>
      </c>
      <c r="G5" s="6">
        <f>'Data Sheet'!G83</f>
        <v>-33114.550000000003</v>
      </c>
      <c r="H5" s="6">
        <f>'Data Sheet'!H83</f>
        <v>-25672.5</v>
      </c>
      <c r="I5" s="6">
        <f>'Data Sheet'!I83</f>
        <v>-4443.66</v>
      </c>
      <c r="J5" s="6">
        <f>'Data Sheet'!J83</f>
        <v>-15417.17</v>
      </c>
      <c r="K5" s="6">
        <f>'Data Sheet'!K83</f>
        <v>-22781.56</v>
      </c>
    </row>
    <row r="6" spans="1:11" x14ac:dyDescent="0.45">
      <c r="A6" t="s">
        <v>34</v>
      </c>
      <c r="B6" s="6">
        <f>'Data Sheet'!B84</f>
        <v>5201.4399999999996</v>
      </c>
      <c r="C6" s="6">
        <f>'Data Sheet'!C84</f>
        <v>-3795.12</v>
      </c>
      <c r="D6" s="6">
        <f>'Data Sheet'!D84</f>
        <v>6205.3</v>
      </c>
      <c r="E6" s="6">
        <f>'Data Sheet'!E84</f>
        <v>2011.71</v>
      </c>
      <c r="F6" s="6">
        <f>'Data Sheet'!F84</f>
        <v>8830.3700000000008</v>
      </c>
      <c r="G6" s="6">
        <f>'Data Sheet'!G84</f>
        <v>3389.61</v>
      </c>
      <c r="H6" s="6">
        <f>'Data Sheet'!H84</f>
        <v>9904.2000000000007</v>
      </c>
      <c r="I6" s="6">
        <f>'Data Sheet'!I84</f>
        <v>-3380.17</v>
      </c>
      <c r="J6" s="6">
        <f>'Data Sheet'!J84</f>
        <v>-26242.9</v>
      </c>
      <c r="K6" s="6">
        <f>'Data Sheet'!K84</f>
        <v>-37005.99</v>
      </c>
    </row>
    <row r="7" spans="1:11" s="2" customFormat="1" x14ac:dyDescent="0.45">
      <c r="A7" s="2" t="s">
        <v>35</v>
      </c>
      <c r="B7" s="1">
        <f>'Data Sheet'!B85</f>
        <v>4500.3500000000004</v>
      </c>
      <c r="C7" s="1">
        <f>'Data Sheet'!C85</f>
        <v>-2589.48</v>
      </c>
      <c r="D7" s="1">
        <f>'Data Sheet'!D85</f>
        <v>-3166.85</v>
      </c>
      <c r="E7" s="1">
        <f>'Data Sheet'!E85</f>
        <v>729.99</v>
      </c>
      <c r="F7" s="1">
        <f>'Data Sheet'!F85</f>
        <v>6843.05</v>
      </c>
      <c r="G7" s="1">
        <f>'Data Sheet'!G85</f>
        <v>-3092</v>
      </c>
      <c r="H7" s="1">
        <f>'Data Sheet'!H85</f>
        <v>13232.21</v>
      </c>
      <c r="I7" s="1">
        <f>'Data Sheet'!I85</f>
        <v>6459</v>
      </c>
      <c r="J7" s="1">
        <f>'Data Sheet'!J85</f>
        <v>-6272.06</v>
      </c>
      <c r="K7" s="1">
        <f>'Data Sheet'!K85</f>
        <v>8127.81</v>
      </c>
    </row>
    <row r="8" spans="1:11" x14ac:dyDescent="0.45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topLeftCell="A13" zoomScale="150" zoomScaleNormal="150" zoomScalePageLayoutView="150" workbookViewId="0">
      <selection activeCell="B34" sqref="B34"/>
    </sheetView>
  </sheetViews>
  <sheetFormatPr defaultColWidth="8.796875" defaultRowHeight="14.25" x14ac:dyDescent="0.45"/>
  <cols>
    <col min="1" max="1" width="8.796875" style="2"/>
    <col min="2" max="2" width="10.46484375" customWidth="1"/>
    <col min="3" max="3" width="13.33203125" style="20" customWidth="1"/>
    <col min="6" max="6" width="6.796875" customWidth="1"/>
  </cols>
  <sheetData>
    <row r="1" spans="1:7" ht="21" x14ac:dyDescent="0.65">
      <c r="A1" s="19" t="s">
        <v>56</v>
      </c>
    </row>
    <row r="3" spans="1:7" x14ac:dyDescent="0.45">
      <c r="A3" s="2" t="s">
        <v>48</v>
      </c>
    </row>
    <row r="4" spans="1:7" x14ac:dyDescent="0.45">
      <c r="B4" t="s">
        <v>90</v>
      </c>
    </row>
    <row r="5" spans="1:7" x14ac:dyDescent="0.45">
      <c r="B5" t="s">
        <v>49</v>
      </c>
    </row>
    <row r="7" spans="1:7" x14ac:dyDescent="0.45">
      <c r="A7" s="2" t="s">
        <v>50</v>
      </c>
    </row>
    <row r="8" spans="1:7" x14ac:dyDescent="0.45">
      <c r="B8" t="s">
        <v>51</v>
      </c>
      <c r="C8" s="21" t="s">
        <v>91</v>
      </c>
    </row>
    <row r="10" spans="1:7" x14ac:dyDescent="0.45">
      <c r="A10" s="2" t="s">
        <v>52</v>
      </c>
    </row>
    <row r="11" spans="1:7" x14ac:dyDescent="0.45">
      <c r="B11" t="s">
        <v>53</v>
      </c>
    </row>
    <row r="14" spans="1:7" x14ac:dyDescent="0.45">
      <c r="A14" s="2" t="s">
        <v>54</v>
      </c>
    </row>
    <row r="15" spans="1:7" x14ac:dyDescent="0.45">
      <c r="B15" t="s">
        <v>55</v>
      </c>
    </row>
    <row r="16" spans="1:7" x14ac:dyDescent="0.4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62" activePane="bottomRight" state="frozen"/>
      <selection activeCell="C4" sqref="C4"/>
      <selection pane="topRight" activeCell="C4" sqref="C4"/>
      <selection pane="bottomLeft" activeCell="C4" sqref="C4"/>
      <selection pane="bottomRight" activeCell="E93" sqref="E93"/>
    </sheetView>
  </sheetViews>
  <sheetFormatPr defaultColWidth="8.796875" defaultRowHeight="14.25" x14ac:dyDescent="0.45"/>
  <cols>
    <col min="1" max="1" width="27.6640625" style="4" bestFit="1" customWidth="1"/>
    <col min="2" max="11" width="13.46484375" style="4" bestFit="1" customWidth="1"/>
    <col min="12" max="16384" width="8.796875" style="4"/>
  </cols>
  <sheetData>
    <row r="1" spans="1:11" s="1" customFormat="1" x14ac:dyDescent="0.45">
      <c r="A1" s="1" t="s">
        <v>0</v>
      </c>
      <c r="B1" s="1" t="s">
        <v>63</v>
      </c>
      <c r="E1" s="39" t="s">
        <v>93</v>
      </c>
      <c r="F1" s="39"/>
      <c r="G1" s="39"/>
      <c r="H1" s="39"/>
      <c r="I1" s="39"/>
      <c r="J1" s="39"/>
      <c r="K1" s="39"/>
    </row>
    <row r="2" spans="1:11" x14ac:dyDescent="0.45">
      <c r="A2" s="1" t="s">
        <v>61</v>
      </c>
      <c r="B2" s="4">
        <v>2.1</v>
      </c>
      <c r="E2" s="40" t="s">
        <v>36</v>
      </c>
      <c r="F2" s="40"/>
      <c r="G2" s="40"/>
      <c r="H2" s="40"/>
      <c r="I2" s="40"/>
      <c r="J2" s="40"/>
      <c r="K2" s="40"/>
    </row>
    <row r="3" spans="1:11" x14ac:dyDescent="0.45">
      <c r="A3" s="1" t="s">
        <v>62</v>
      </c>
      <c r="B3" s="4">
        <v>2.1</v>
      </c>
    </row>
    <row r="4" spans="1:11" x14ac:dyDescent="0.45">
      <c r="A4" s="1"/>
    </row>
    <row r="5" spans="1:11" x14ac:dyDescent="0.45">
      <c r="A5" s="1" t="s">
        <v>64</v>
      </c>
    </row>
    <row r="6" spans="1:11" x14ac:dyDescent="0.45">
      <c r="A6" s="4" t="s">
        <v>42</v>
      </c>
      <c r="B6" s="4">
        <f>IF(B9&gt;0, B9/B8, 0)</f>
        <v>368.08841454139838</v>
      </c>
    </row>
    <row r="7" spans="1:11" x14ac:dyDescent="0.45">
      <c r="A7" s="4" t="s">
        <v>31</v>
      </c>
      <c r="B7">
        <v>2</v>
      </c>
    </row>
    <row r="8" spans="1:11" x14ac:dyDescent="0.45">
      <c r="A8" s="4" t="s">
        <v>43</v>
      </c>
      <c r="B8">
        <v>986.15</v>
      </c>
    </row>
    <row r="9" spans="1:11" x14ac:dyDescent="0.45">
      <c r="A9" s="4" t="s">
        <v>79</v>
      </c>
      <c r="B9">
        <v>362990.39</v>
      </c>
    </row>
    <row r="15" spans="1:11" x14ac:dyDescent="0.45">
      <c r="A15" s="1" t="s">
        <v>37</v>
      </c>
    </row>
    <row r="16" spans="1:11" s="18" customFormat="1" x14ac:dyDescent="0.45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45">
      <c r="A17" s="6" t="s">
        <v>6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6" customFormat="1" x14ac:dyDescent="0.45">
      <c r="A18" s="4" t="s">
        <v>80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6" customFormat="1" x14ac:dyDescent="0.45">
      <c r="A19" s="4" t="s">
        <v>81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6" customFormat="1" x14ac:dyDescent="0.45">
      <c r="A20" s="4" t="s">
        <v>82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  <c r="K20">
        <v>2195.12</v>
      </c>
    </row>
    <row r="21" spans="1:11" s="6" customFormat="1" x14ac:dyDescent="0.45">
      <c r="A21" s="4" t="s">
        <v>83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  <c r="K21">
        <v>17114.330000000002</v>
      </c>
    </row>
    <row r="22" spans="1:11" s="6" customFormat="1" x14ac:dyDescent="0.45">
      <c r="A22" s="4" t="s">
        <v>84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6" customFormat="1" x14ac:dyDescent="0.45">
      <c r="A23" s="4" t="s">
        <v>85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1" s="6" customFormat="1" x14ac:dyDescent="0.45">
      <c r="A24" s="4" t="s">
        <v>86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1072.31</v>
      </c>
    </row>
    <row r="25" spans="1:11" s="6" customFormat="1" x14ac:dyDescent="0.45">
      <c r="A25" s="6" t="s">
        <v>9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6663.97</v>
      </c>
      <c r="K25">
        <v>5672.66</v>
      </c>
    </row>
    <row r="26" spans="1:11" s="6" customFormat="1" x14ac:dyDescent="0.45">
      <c r="A26" s="6" t="s">
        <v>10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6" customFormat="1" x14ac:dyDescent="0.45">
      <c r="A27" s="6" t="s">
        <v>11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6" customFormat="1" x14ac:dyDescent="0.45">
      <c r="A28" s="6" t="s">
        <v>12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3393.93</v>
      </c>
      <c r="K28">
        <v>27955.11</v>
      </c>
    </row>
    <row r="29" spans="1:11" s="6" customFormat="1" x14ac:dyDescent="0.45">
      <c r="A29" s="6" t="s">
        <v>13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6" customFormat="1" x14ac:dyDescent="0.45">
      <c r="A30" s="6" t="s">
        <v>14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6" customFormat="1" x14ac:dyDescent="0.45">
      <c r="A31" s="6" t="s">
        <v>70</v>
      </c>
      <c r="C31">
        <v>67.92</v>
      </c>
      <c r="J31">
        <v>766.02</v>
      </c>
      <c r="K31">
        <v>4675.6499999999996</v>
      </c>
    </row>
    <row r="32" spans="1:11" s="6" customFormat="1" x14ac:dyDescent="0.45"/>
    <row r="33" spans="1:11" x14ac:dyDescent="0.45">
      <c r="A33" s="6"/>
    </row>
    <row r="34" spans="1:11" x14ac:dyDescent="0.45">
      <c r="A34" s="6"/>
    </row>
    <row r="35" spans="1:11" x14ac:dyDescent="0.45">
      <c r="A35" s="6"/>
    </row>
    <row r="36" spans="1:11" x14ac:dyDescent="0.45">
      <c r="A36" s="6"/>
    </row>
    <row r="37" spans="1:11" x14ac:dyDescent="0.45">
      <c r="A37" s="6"/>
    </row>
    <row r="38" spans="1:11" x14ac:dyDescent="0.45">
      <c r="A38" s="6"/>
    </row>
    <row r="39" spans="1:11" x14ac:dyDescent="0.45">
      <c r="A39" s="6"/>
    </row>
    <row r="40" spans="1:11" x14ac:dyDescent="0.45">
      <c r="A40" s="1" t="s">
        <v>39</v>
      </c>
    </row>
    <row r="41" spans="1:11" s="18" customFormat="1" x14ac:dyDescent="0.45">
      <c r="A41" s="17" t="s">
        <v>38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 x14ac:dyDescent="0.45">
      <c r="A42" s="6" t="s">
        <v>6</v>
      </c>
      <c r="B42">
        <v>78439.06</v>
      </c>
      <c r="C42">
        <v>71934.66</v>
      </c>
      <c r="D42">
        <v>79611.37</v>
      </c>
      <c r="E42">
        <v>88488.59</v>
      </c>
      <c r="F42">
        <v>105932.35</v>
      </c>
      <c r="G42">
        <v>102236</v>
      </c>
      <c r="H42">
        <v>105128.24</v>
      </c>
      <c r="I42">
        <v>110577.14</v>
      </c>
      <c r="J42">
        <v>119986</v>
      </c>
      <c r="K42">
        <v>108048</v>
      </c>
    </row>
    <row r="43" spans="1:11" s="6" customFormat="1" x14ac:dyDescent="0.45">
      <c r="A43" s="6" t="s">
        <v>7</v>
      </c>
      <c r="B43">
        <v>70156.27</v>
      </c>
      <c r="C43">
        <v>69521.929999999993</v>
      </c>
      <c r="D43">
        <v>74039.06</v>
      </c>
      <c r="E43">
        <v>77668.350000000006</v>
      </c>
      <c r="F43">
        <v>92817.95</v>
      </c>
      <c r="G43">
        <v>89019</v>
      </c>
      <c r="H43">
        <v>91361.3</v>
      </c>
      <c r="I43">
        <v>95158.77</v>
      </c>
      <c r="J43">
        <v>102851</v>
      </c>
      <c r="K43">
        <v>92263</v>
      </c>
    </row>
    <row r="44" spans="1:11" s="6" customFormat="1" x14ac:dyDescent="0.45">
      <c r="A44" s="6" t="s">
        <v>9</v>
      </c>
      <c r="B44">
        <v>188.74</v>
      </c>
      <c r="C44">
        <v>2380.98</v>
      </c>
      <c r="D44">
        <v>1351.14</v>
      </c>
      <c r="E44">
        <v>1129.98</v>
      </c>
      <c r="F44">
        <v>1452.86</v>
      </c>
      <c r="G44">
        <v>895</v>
      </c>
      <c r="H44">
        <v>1507.05</v>
      </c>
      <c r="I44">
        <v>1603.76</v>
      </c>
      <c r="J44">
        <v>1619</v>
      </c>
      <c r="K44">
        <v>1747</v>
      </c>
    </row>
    <row r="45" spans="1:11" s="6" customFormat="1" x14ac:dyDescent="0.45">
      <c r="A45" s="6" t="s">
        <v>10</v>
      </c>
      <c r="B45">
        <v>6432.11</v>
      </c>
      <c r="C45">
        <v>5841.04</v>
      </c>
      <c r="D45">
        <v>5897.34</v>
      </c>
      <c r="E45">
        <v>6071.78</v>
      </c>
      <c r="F45">
        <v>7050.2</v>
      </c>
      <c r="G45">
        <v>6633</v>
      </c>
      <c r="H45">
        <v>6636.42</v>
      </c>
      <c r="I45">
        <v>6850</v>
      </c>
      <c r="J45">
        <v>7151</v>
      </c>
      <c r="K45">
        <v>6574</v>
      </c>
    </row>
    <row r="46" spans="1:11" s="6" customFormat="1" x14ac:dyDescent="0.45">
      <c r="A46" s="6" t="s">
        <v>11</v>
      </c>
      <c r="B46">
        <v>2380.52</v>
      </c>
      <c r="C46">
        <v>2420.7199999999998</v>
      </c>
      <c r="D46">
        <v>2487.2600000000002</v>
      </c>
      <c r="E46">
        <v>2675.83</v>
      </c>
      <c r="F46">
        <v>2641.67</v>
      </c>
      <c r="G46">
        <v>2615</v>
      </c>
      <c r="H46">
        <v>2651.69</v>
      </c>
      <c r="I46">
        <v>2484.91</v>
      </c>
      <c r="J46">
        <v>2234</v>
      </c>
      <c r="K46">
        <v>2088</v>
      </c>
    </row>
    <row r="47" spans="1:11" s="6" customFormat="1" x14ac:dyDescent="0.45">
      <c r="A47" s="6" t="s">
        <v>12</v>
      </c>
      <c r="B47">
        <v>-341.1</v>
      </c>
      <c r="C47">
        <v>-3468.05</v>
      </c>
      <c r="D47">
        <v>-1461.15</v>
      </c>
      <c r="E47">
        <v>3202.61</v>
      </c>
      <c r="F47">
        <v>4875.3900000000003</v>
      </c>
      <c r="G47">
        <v>4864</v>
      </c>
      <c r="H47">
        <v>5985.88</v>
      </c>
      <c r="I47">
        <v>7687.22</v>
      </c>
      <c r="J47">
        <v>9369</v>
      </c>
      <c r="K47">
        <v>8870</v>
      </c>
    </row>
    <row r="48" spans="1:11" s="6" customFormat="1" x14ac:dyDescent="0.45">
      <c r="A48" s="6" t="s">
        <v>13</v>
      </c>
      <c r="B48">
        <v>758.22</v>
      </c>
      <c r="C48">
        <v>1518.96</v>
      </c>
      <c r="D48">
        <v>-457.08</v>
      </c>
      <c r="E48">
        <v>262.83</v>
      </c>
      <c r="F48">
        <v>-620.65</v>
      </c>
      <c r="G48">
        <v>1563</v>
      </c>
      <c r="H48">
        <v>2202.84</v>
      </c>
      <c r="I48">
        <v>541.79</v>
      </c>
      <c r="J48">
        <v>-8160</v>
      </c>
      <c r="K48">
        <v>3178</v>
      </c>
    </row>
    <row r="49" spans="1:11" s="6" customFormat="1" x14ac:dyDescent="0.45">
      <c r="A49" s="6" t="s">
        <v>14</v>
      </c>
      <c r="B49">
        <v>-1032.8399999999999</v>
      </c>
      <c r="C49">
        <v>-5006.6000000000004</v>
      </c>
      <c r="D49">
        <v>-944.61</v>
      </c>
      <c r="E49">
        <v>2957.71</v>
      </c>
      <c r="F49">
        <v>5407.79</v>
      </c>
      <c r="G49">
        <v>3203</v>
      </c>
      <c r="H49">
        <v>3764</v>
      </c>
      <c r="I49">
        <v>7025.11</v>
      </c>
      <c r="J49">
        <v>17407</v>
      </c>
      <c r="K49">
        <v>5566</v>
      </c>
    </row>
    <row r="50" spans="1:11" x14ac:dyDescent="0.45">
      <c r="A50" s="6" t="s">
        <v>8</v>
      </c>
      <c r="B50">
        <v>8282.7900000000009</v>
      </c>
      <c r="C50">
        <v>2412.73</v>
      </c>
      <c r="D50">
        <v>5572.31</v>
      </c>
      <c r="E50">
        <v>10820.24</v>
      </c>
      <c r="F50">
        <v>13114.4</v>
      </c>
      <c r="G50">
        <v>13217</v>
      </c>
      <c r="H50">
        <v>13766.94</v>
      </c>
      <c r="I50">
        <v>15418.37</v>
      </c>
      <c r="J50">
        <v>17135</v>
      </c>
      <c r="K50">
        <v>15785</v>
      </c>
    </row>
    <row r="51" spans="1:11" x14ac:dyDescent="0.45">
      <c r="A51" s="6"/>
    </row>
    <row r="52" spans="1:11" x14ac:dyDescent="0.45">
      <c r="A52" s="6"/>
    </row>
    <row r="53" spans="1:11" x14ac:dyDescent="0.45">
      <c r="A53" s="6"/>
    </row>
    <row r="54" spans="1:11" x14ac:dyDescent="0.45">
      <c r="A54" s="6"/>
    </row>
    <row r="55" spans="1:11" x14ac:dyDescent="0.45">
      <c r="A55" s="1" t="s">
        <v>40</v>
      </c>
    </row>
    <row r="56" spans="1:11" s="18" customFormat="1" x14ac:dyDescent="0.45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45">
      <c r="A57" s="6" t="s">
        <v>24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45">
      <c r="A58" s="6" t="s">
        <v>25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45">
      <c r="A59" s="6" t="s">
        <v>71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45">
      <c r="A60" s="6" t="s">
        <v>72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177340.09</v>
      </c>
    </row>
    <row r="61" spans="1:11" s="1" customFormat="1" x14ac:dyDescent="0.45">
      <c r="A61" s="1" t="s">
        <v>26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45">
      <c r="A62" s="6" t="s">
        <v>27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121285.46</v>
      </c>
    </row>
    <row r="63" spans="1:11" x14ac:dyDescent="0.45">
      <c r="A63" s="6" t="s">
        <v>28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45">
      <c r="A64" s="6" t="s">
        <v>29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45">
      <c r="A65" s="6" t="s">
        <v>73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189565.65</v>
      </c>
    </row>
    <row r="66" spans="1:11" s="1" customFormat="1" x14ac:dyDescent="0.45">
      <c r="A66" s="1" t="s">
        <v>26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1" s="6" customFormat="1" x14ac:dyDescent="0.45">
      <c r="A67" s="6" t="s">
        <v>78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45">
      <c r="A68" s="6" t="s">
        <v>45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45">
      <c r="A69" s="4" t="s">
        <v>87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45">
      <c r="A70" s="4" t="s">
        <v>74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  <c r="K70">
        <v>3832491897</v>
      </c>
    </row>
    <row r="71" spans="1:11" x14ac:dyDescent="0.45">
      <c r="A71" s="4" t="s">
        <v>75</v>
      </c>
    </row>
    <row r="72" spans="1:11" x14ac:dyDescent="0.45">
      <c r="A72" s="4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45">
      <c r="A74" s="6"/>
    </row>
    <row r="75" spans="1:11" x14ac:dyDescent="0.45">
      <c r="A75" s="6"/>
    </row>
    <row r="76" spans="1:11" x14ac:dyDescent="0.45">
      <c r="A76" s="6"/>
    </row>
    <row r="77" spans="1:11" x14ac:dyDescent="0.45">
      <c r="A77" s="6"/>
    </row>
    <row r="78" spans="1:11" x14ac:dyDescent="0.45">
      <c r="A78" s="6"/>
    </row>
    <row r="79" spans="1:11" x14ac:dyDescent="0.45">
      <c r="A79" s="6"/>
    </row>
    <row r="80" spans="1:11" x14ac:dyDescent="0.45">
      <c r="A80" s="1" t="s">
        <v>41</v>
      </c>
    </row>
    <row r="81" spans="1:11" s="18" customFormat="1" x14ac:dyDescent="0.45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45">
      <c r="A82" s="6" t="s">
        <v>32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6" customFormat="1" x14ac:dyDescent="0.45">
      <c r="A83" s="6" t="s">
        <v>33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-22781.56</v>
      </c>
    </row>
    <row r="84" spans="1:11" s="6" customFormat="1" x14ac:dyDescent="0.45">
      <c r="A84" s="6" t="s">
        <v>34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45">
      <c r="A85" s="6" t="s">
        <v>35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8127.81</v>
      </c>
    </row>
    <row r="86" spans="1:11" x14ac:dyDescent="0.45">
      <c r="A86" s="6"/>
    </row>
    <row r="87" spans="1:11" x14ac:dyDescent="0.45">
      <c r="A87" s="6"/>
    </row>
    <row r="88" spans="1:11" x14ac:dyDescent="0.45">
      <c r="A88" s="6"/>
    </row>
    <row r="89" spans="1:11" x14ac:dyDescent="0.45">
      <c r="A89" s="6"/>
    </row>
    <row r="90" spans="1:11" s="1" customFormat="1" x14ac:dyDescent="0.45">
      <c r="A90" s="1" t="s">
        <v>77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45">
      <c r="A92" s="1" t="s">
        <v>76</v>
      </c>
    </row>
    <row r="93" spans="1:11" x14ac:dyDescent="0.45">
      <c r="A93" s="4" t="s">
        <v>89</v>
      </c>
      <c r="B93" s="24">
        <v>288.74</v>
      </c>
      <c r="C93" s="24">
        <v>288.72000000000003</v>
      </c>
      <c r="D93" s="24">
        <v>288.73</v>
      </c>
      <c r="E93" s="24">
        <v>288.73</v>
      </c>
      <c r="F93" s="24">
        <v>288.73</v>
      </c>
      <c r="G93" s="24">
        <v>308.89999999999998</v>
      </c>
      <c r="H93" s="24">
        <v>332.03</v>
      </c>
      <c r="I93" s="24">
        <v>332.07</v>
      </c>
      <c r="J93" s="24">
        <v>332.13</v>
      </c>
      <c r="K93" s="24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6A0-F272-4AE0-B888-A41E265D71F3}">
  <dimension ref="A1"/>
  <sheetViews>
    <sheetView topLeftCell="A4"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8FC1-C071-4234-B8FF-F9D392CDD20C}">
  <dimension ref="A2:P105"/>
  <sheetViews>
    <sheetView showGridLines="0" tabSelected="1" topLeftCell="A105" zoomScale="85" zoomScaleNormal="85" workbookViewId="0">
      <selection activeCell="B67" sqref="B67:I104"/>
    </sheetView>
  </sheetViews>
  <sheetFormatPr defaultRowHeight="14.25" outlineLevelRow="1" x14ac:dyDescent="0.45"/>
  <cols>
    <col min="1" max="1" width="1.73046875" style="31" customWidth="1"/>
    <col min="2" max="2" width="25.46484375" style="31" bestFit="1" customWidth="1"/>
    <col min="3" max="6" width="11.9296875" style="31" bestFit="1" customWidth="1"/>
    <col min="7" max="7" width="11.59765625" style="31" customWidth="1"/>
    <col min="8" max="9" width="11.9296875" style="31" bestFit="1" customWidth="1"/>
    <col min="10" max="10" width="12.265625" style="31" bestFit="1" customWidth="1"/>
    <col min="11" max="16384" width="9.06640625" style="31"/>
  </cols>
  <sheetData>
    <row r="2" spans="1:16" x14ac:dyDescent="0.45">
      <c r="B2" s="41" t="str">
        <f>"Historical Financial Statements - "&amp;UPDATE</f>
        <v>Historical Financial Statements - Tata Motors</v>
      </c>
      <c r="C2" s="41"/>
      <c r="D2" s="41"/>
      <c r="E2" s="41"/>
      <c r="F2" s="41"/>
      <c r="G2" s="41"/>
      <c r="H2" s="41"/>
      <c r="I2" s="41"/>
      <c r="J2" s="41"/>
    </row>
    <row r="3" spans="1:16" x14ac:dyDescent="0.45">
      <c r="B3" s="32" t="s">
        <v>94</v>
      </c>
      <c r="C3" s="32">
        <f>'Data Sheet'!E16</f>
        <v>43190</v>
      </c>
      <c r="D3" s="32">
        <f>'Data Sheet'!F16</f>
        <v>43555</v>
      </c>
      <c r="E3" s="32">
        <f>'Data Sheet'!G16</f>
        <v>43921</v>
      </c>
      <c r="F3" s="32">
        <f>'Data Sheet'!H16</f>
        <v>44286</v>
      </c>
      <c r="G3" s="32">
        <f>'Data Sheet'!I16</f>
        <v>44651</v>
      </c>
      <c r="H3" s="32">
        <f>'Data Sheet'!J16</f>
        <v>45016</v>
      </c>
      <c r="I3" s="32">
        <f>'Data Sheet'!K16</f>
        <v>45382</v>
      </c>
      <c r="J3" s="32" t="s">
        <v>100</v>
      </c>
    </row>
    <row r="4" spans="1:16" x14ac:dyDescent="0.45">
      <c r="A4" s="31" t="s">
        <v>95</v>
      </c>
      <c r="B4" s="32" t="s">
        <v>96</v>
      </c>
      <c r="C4" s="32"/>
      <c r="D4" s="32"/>
      <c r="E4" s="32"/>
      <c r="F4" s="32"/>
      <c r="G4" s="32"/>
      <c r="H4" s="32"/>
      <c r="I4" s="32"/>
      <c r="J4" s="32"/>
    </row>
    <row r="5" spans="1:16" outlineLevel="1" x14ac:dyDescent="0.45">
      <c r="B5" s="31" t="s">
        <v>6</v>
      </c>
      <c r="C5" s="28">
        <f>IFERROR('Data Sheet'!E17,0)</f>
        <v>291550.48</v>
      </c>
      <c r="D5" s="28">
        <f>IFERROR('Data Sheet'!F17,0)</f>
        <v>301938.40000000002</v>
      </c>
      <c r="E5" s="28">
        <f>IFERROR('Data Sheet'!G17,0)</f>
        <v>261067.97</v>
      </c>
      <c r="F5" s="28">
        <f>IFERROR('Data Sheet'!H17,0)</f>
        <v>249794.75</v>
      </c>
      <c r="G5" s="28">
        <f>IFERROR('Data Sheet'!I17,0)</f>
        <v>278453.62</v>
      </c>
      <c r="H5" s="28">
        <f>IFERROR('Data Sheet'!J17,0)</f>
        <v>345966.97</v>
      </c>
      <c r="I5" s="28">
        <f>IFERROR('Data Sheet'!K17,0)</f>
        <v>437927.77</v>
      </c>
      <c r="J5" s="28">
        <f>IFERROR(SUM('Data Sheet'!K42:K42),0)</f>
        <v>108048</v>
      </c>
    </row>
    <row r="6" spans="1:16" outlineLevel="1" x14ac:dyDescent="0.45">
      <c r="B6" s="33" t="s">
        <v>22</v>
      </c>
      <c r="C6" s="33"/>
      <c r="D6" s="34">
        <f>D5/C5 - 1</f>
        <v>3.5629919045237157E-2</v>
      </c>
      <c r="E6" s="34">
        <f t="shared" ref="E6:J6" si="0">E5/D5 - 1</f>
        <v>-0.135360159555724</v>
      </c>
      <c r="F6" s="34">
        <f t="shared" si="0"/>
        <v>-4.3181168490336042E-2</v>
      </c>
      <c r="G6" s="34">
        <f t="shared" si="0"/>
        <v>0.11472967306158344</v>
      </c>
      <c r="H6" s="34">
        <f t="shared" si="0"/>
        <v>0.24245815155859707</v>
      </c>
      <c r="I6" s="34">
        <f t="shared" si="0"/>
        <v>0.26580803363974326</v>
      </c>
      <c r="J6" s="34">
        <f t="shared" si="0"/>
        <v>-0.75327438129808488</v>
      </c>
      <c r="O6" s="28"/>
      <c r="P6" s="28"/>
    </row>
    <row r="7" spans="1:16" outlineLevel="1" x14ac:dyDescent="0.45"/>
    <row r="8" spans="1:16" outlineLevel="1" x14ac:dyDescent="0.45">
      <c r="B8" s="31" t="s">
        <v>97</v>
      </c>
      <c r="C8" s="28">
        <f>IFERROR(SUM('Data Sheet'!E18,'Data Sheet'!E20,'Data Sheet'!E21,'Data Sheet'!E22,-1*'Data Sheet'!E19),0)</f>
        <v>228429.83</v>
      </c>
      <c r="D8" s="28">
        <f>IFERROR(SUM('Data Sheet'!F18,'Data Sheet'!F20,'Data Sheet'!F21,'Data Sheet'!F22,-1*'Data Sheet'!F19),0)</f>
        <v>242845.53</v>
      </c>
      <c r="E8" s="28">
        <f>IFERROR(SUM('Data Sheet'!G18,'Data Sheet'!G20,'Data Sheet'!G21,'Data Sheet'!G22,-1*'Data Sheet'!G19),0)</f>
        <v>210376.07000000004</v>
      </c>
      <c r="F8" s="28">
        <f>IFERROR(SUM('Data Sheet'!H18,'Data Sheet'!H20,'Data Sheet'!H21,'Data Sheet'!H22,-1*'Data Sheet'!H19),0)</f>
        <v>195326.04</v>
      </c>
      <c r="G8" s="28">
        <f>IFERROR(SUM('Data Sheet'!I18,'Data Sheet'!I20,'Data Sheet'!I21,'Data Sheet'!I22,-1*'Data Sheet'!I19),0)</f>
        <v>223300.00999999998</v>
      </c>
      <c r="H8" s="28">
        <f>IFERROR(SUM('Data Sheet'!J18,'Data Sheet'!J20,'Data Sheet'!J21,'Data Sheet'!J22,-1*'Data Sheet'!J19),0)</f>
        <v>274403.64</v>
      </c>
      <c r="I8" s="28">
        <f>IFERROR(SUM('Data Sheet'!K18,'Data Sheet'!K20,'Data Sheet'!K21,'Data Sheet'!K22,-1*'Data Sheet'!K19),0)</f>
        <v>334551.78999999998</v>
      </c>
      <c r="J8" s="28">
        <f>IFERROR(SUM('Data Sheet'!K43:K43),0)</f>
        <v>92263</v>
      </c>
    </row>
    <row r="9" spans="1:16" outlineLevel="1" x14ac:dyDescent="0.45">
      <c r="B9" s="33" t="s">
        <v>98</v>
      </c>
      <c r="C9" s="33">
        <f>C8/C5</f>
        <v>0.78350009919380004</v>
      </c>
      <c r="D9" s="34">
        <f t="shared" ref="D9:J9" si="1">D8/D5</f>
        <v>0.80428832503583503</v>
      </c>
      <c r="E9" s="34">
        <f t="shared" si="1"/>
        <v>0.80582872728508226</v>
      </c>
      <c r="F9" s="34">
        <f t="shared" si="1"/>
        <v>0.7819461377791167</v>
      </c>
      <c r="G9" s="34">
        <f t="shared" si="1"/>
        <v>0.80192891728252624</v>
      </c>
      <c r="H9" s="34">
        <f t="shared" si="1"/>
        <v>0.79314982005363122</v>
      </c>
      <c r="I9" s="34">
        <f t="shared" si="1"/>
        <v>0.76394285295038489</v>
      </c>
      <c r="J9" s="34">
        <f t="shared" si="1"/>
        <v>0.85390752258255587</v>
      </c>
    </row>
    <row r="10" spans="1:16" outlineLevel="1" x14ac:dyDescent="0.45"/>
    <row r="11" spans="1:16" outlineLevel="1" x14ac:dyDescent="0.45">
      <c r="B11" s="31" t="s">
        <v>99</v>
      </c>
      <c r="C11" s="28">
        <f>C5-C8</f>
        <v>63120.649999999994</v>
      </c>
      <c r="D11" s="28">
        <f t="shared" ref="D11:I11" si="2">D5-D8</f>
        <v>59092.870000000024</v>
      </c>
      <c r="E11" s="28">
        <f t="shared" si="2"/>
        <v>50691.899999999965</v>
      </c>
      <c r="F11" s="28">
        <f t="shared" si="2"/>
        <v>54468.709999999992</v>
      </c>
      <c r="G11" s="28">
        <f t="shared" si="2"/>
        <v>55153.610000000015</v>
      </c>
      <c r="H11" s="28">
        <f t="shared" si="2"/>
        <v>71563.329999999958</v>
      </c>
      <c r="I11" s="28">
        <f t="shared" si="2"/>
        <v>103375.98000000004</v>
      </c>
      <c r="J11" s="28">
        <f>J5-J8</f>
        <v>15785</v>
      </c>
    </row>
    <row r="12" spans="1:16" outlineLevel="1" x14ac:dyDescent="0.45"/>
    <row r="13" spans="1:16" outlineLevel="1" x14ac:dyDescent="0.45">
      <c r="B13" s="31" t="s">
        <v>101</v>
      </c>
      <c r="C13" s="28">
        <f>IFERROR(SUM('Data Sheet'!E23:E24),0)</f>
        <v>31662.97</v>
      </c>
      <c r="D13" s="28">
        <f>IFERROR(SUM('Data Sheet'!F23:F24),0)</f>
        <v>34428.54</v>
      </c>
      <c r="E13" s="28">
        <f>IFERROR(SUM('Data Sheet'!G23:G24),0)</f>
        <v>32704.83</v>
      </c>
      <c r="F13" s="28">
        <f>IFERROR(SUM('Data Sheet'!H23:H24),0)</f>
        <v>22181.280000000002</v>
      </c>
      <c r="G13" s="28">
        <f>IFERROR(SUM('Data Sheet'!I23:I24),0)</f>
        <v>30433.52</v>
      </c>
      <c r="H13" s="28">
        <f>IFERROR(SUM('Data Sheet'!J23:J24),0)</f>
        <v>39747.53</v>
      </c>
      <c r="I13" s="28">
        <f>IFERROR(SUM('Data Sheet'!K23:K24),0)</f>
        <v>43837.64</v>
      </c>
      <c r="J13" s="31">
        <v>0</v>
      </c>
    </row>
    <row r="14" spans="1:16" outlineLevel="1" x14ac:dyDescent="0.45">
      <c r="B14" s="33" t="s">
        <v>102</v>
      </c>
      <c r="C14" s="33">
        <f>C13/C$5</f>
        <v>0.10860201636437025</v>
      </c>
      <c r="D14" s="34">
        <f t="shared" ref="D14:J14" si="3">D13/D$5</f>
        <v>0.11402504616835751</v>
      </c>
      <c r="E14" s="34">
        <f t="shared" si="3"/>
        <v>0.12527323822987554</v>
      </c>
      <c r="F14" s="34">
        <f t="shared" si="3"/>
        <v>8.8798023177028354E-2</v>
      </c>
      <c r="G14" s="34">
        <f t="shared" si="3"/>
        <v>0.10929475436519734</v>
      </c>
      <c r="H14" s="34">
        <f t="shared" si="3"/>
        <v>0.11488822184383672</v>
      </c>
      <c r="I14" s="34">
        <f t="shared" si="3"/>
        <v>0.10010244383451636</v>
      </c>
      <c r="J14" s="34">
        <f t="shared" si="3"/>
        <v>0</v>
      </c>
    </row>
    <row r="15" spans="1:16" outlineLevel="1" x14ac:dyDescent="0.45"/>
    <row r="16" spans="1:16" outlineLevel="1" x14ac:dyDescent="0.45">
      <c r="B16" s="31" t="s">
        <v>103</v>
      </c>
      <c r="C16" s="28">
        <f>C11-C13</f>
        <v>31457.679999999993</v>
      </c>
      <c r="D16" s="28">
        <f t="shared" ref="D16:I16" si="4">D11-D13</f>
        <v>24664.330000000024</v>
      </c>
      <c r="E16" s="28">
        <f t="shared" si="4"/>
        <v>17987.069999999963</v>
      </c>
      <c r="F16" s="28">
        <f t="shared" si="4"/>
        <v>32287.429999999989</v>
      </c>
      <c r="G16" s="28">
        <f t="shared" si="4"/>
        <v>24720.090000000015</v>
      </c>
      <c r="H16" s="28">
        <f t="shared" si="4"/>
        <v>31815.799999999959</v>
      </c>
      <c r="I16" s="28">
        <f t="shared" si="4"/>
        <v>59538.34000000004</v>
      </c>
      <c r="J16" s="28">
        <f>J11-J13</f>
        <v>15785</v>
      </c>
    </row>
    <row r="17" spans="2:10" outlineLevel="1" x14ac:dyDescent="0.45">
      <c r="B17" s="33" t="s">
        <v>104</v>
      </c>
      <c r="C17" s="33">
        <f>C16/C$5</f>
        <v>0.10789788444182975</v>
      </c>
      <c r="D17" s="34">
        <f t="shared" ref="D17" si="5">D16/D$5</f>
        <v>8.1686628795807431E-2</v>
      </c>
      <c r="E17" s="34">
        <f t="shared" ref="E17" si="6">E16/E$5</f>
        <v>6.8898034485042198E-2</v>
      </c>
      <c r="F17" s="34">
        <f t="shared" ref="F17" si="7">F16/F$5</f>
        <v>0.12925583904385496</v>
      </c>
      <c r="G17" s="34">
        <f t="shared" ref="G17" si="8">G16/G$5</f>
        <v>8.877632835227646E-2</v>
      </c>
      <c r="H17" s="34">
        <f t="shared" ref="H17" si="9">H16/H$5</f>
        <v>9.1961958102532049E-2</v>
      </c>
      <c r="I17" s="34">
        <f t="shared" ref="I17" si="10">I16/I$5</f>
        <v>0.13595470321509878</v>
      </c>
      <c r="J17" s="34">
        <f t="shared" ref="J17" si="11">J16/J$5</f>
        <v>0.14609247741744411</v>
      </c>
    </row>
    <row r="18" spans="2:10" outlineLevel="1" x14ac:dyDescent="0.45"/>
    <row r="19" spans="2:10" outlineLevel="1" x14ac:dyDescent="0.45">
      <c r="B19" s="31" t="s">
        <v>11</v>
      </c>
      <c r="C19" s="28">
        <f>IFERROR('Data Sheet'!E27,0)</f>
        <v>4681.79</v>
      </c>
      <c r="D19" s="28">
        <f>IFERROR('Data Sheet'!F27,0)</f>
        <v>5758.6</v>
      </c>
      <c r="E19" s="28">
        <f>IFERROR('Data Sheet'!G27,0)</f>
        <v>7243.33</v>
      </c>
      <c r="F19" s="28">
        <f>IFERROR('Data Sheet'!H27,0)</f>
        <v>8097.17</v>
      </c>
      <c r="G19" s="28">
        <f>IFERROR('Data Sheet'!I27,0)</f>
        <v>9311.86</v>
      </c>
      <c r="H19" s="28">
        <f>IFERROR('Data Sheet'!J27,0)</f>
        <v>10225.48</v>
      </c>
      <c r="I19" s="28">
        <f>IFERROR('Data Sheet'!K27,0)</f>
        <v>9985.76</v>
      </c>
      <c r="J19" s="28">
        <f>IFERROR(SUM('Data Sheet'!K46,'Data Sheet'!K46),0)</f>
        <v>4176</v>
      </c>
    </row>
    <row r="20" spans="2:10" outlineLevel="1" x14ac:dyDescent="0.45">
      <c r="B20" s="33" t="s">
        <v>105</v>
      </c>
      <c r="C20" s="33">
        <f t="shared" ref="C20:J20" si="12">C19/C$5</f>
        <v>1.605824830060304E-2</v>
      </c>
      <c r="D20" s="34">
        <f t="shared" si="12"/>
        <v>1.9072102124141878E-2</v>
      </c>
      <c r="E20" s="34">
        <f t="shared" si="12"/>
        <v>2.7744996829752802E-2</v>
      </c>
      <c r="F20" s="34">
        <f t="shared" si="12"/>
        <v>3.2415292955516477E-2</v>
      </c>
      <c r="G20" s="34">
        <f t="shared" si="12"/>
        <v>3.3441332168710897E-2</v>
      </c>
      <c r="H20" s="34">
        <f t="shared" si="12"/>
        <v>2.9556231914277829E-2</v>
      </c>
      <c r="I20" s="34">
        <f t="shared" si="12"/>
        <v>2.2802299109736749E-2</v>
      </c>
      <c r="J20" s="34">
        <f t="shared" si="12"/>
        <v>3.8649489115948468E-2</v>
      </c>
    </row>
    <row r="21" spans="2:10" outlineLevel="1" x14ac:dyDescent="0.45"/>
    <row r="22" spans="2:10" outlineLevel="1" x14ac:dyDescent="0.45">
      <c r="B22" s="31" t="s">
        <v>106</v>
      </c>
      <c r="C22" s="28">
        <f>IFERROR('Data Sheet'!E45,0)</f>
        <v>6071.78</v>
      </c>
      <c r="D22" s="28">
        <f>IFERROR('Data Sheet'!F45,0)</f>
        <v>7050.2</v>
      </c>
      <c r="E22" s="28">
        <f>IFERROR('Data Sheet'!G45,0)</f>
        <v>6633</v>
      </c>
      <c r="F22" s="28">
        <f>IFERROR('Data Sheet'!H45,0)</f>
        <v>6636.42</v>
      </c>
      <c r="G22" s="28">
        <f>IFERROR('Data Sheet'!I45,0)</f>
        <v>6850</v>
      </c>
      <c r="H22" s="28">
        <f>IFERROR('Data Sheet'!J45,0)</f>
        <v>7151</v>
      </c>
      <c r="I22" s="28">
        <f>IFERROR('Data Sheet'!K45,0)</f>
        <v>6574</v>
      </c>
      <c r="J22" s="28">
        <f>IFERROR(SUM('Data Sheet'!K47:K47,),0)</f>
        <v>8870</v>
      </c>
    </row>
    <row r="23" spans="2:10" outlineLevel="1" x14ac:dyDescent="0.45">
      <c r="B23" s="33" t="s">
        <v>107</v>
      </c>
      <c r="C23" s="33">
        <f t="shared" ref="C23" si="13">C22/C$5</f>
        <v>2.0825827486204106E-2</v>
      </c>
      <c r="D23" s="34">
        <f t="shared" ref="D23" si="14">D22/D$5</f>
        <v>2.3349795852399029E-2</v>
      </c>
      <c r="E23" s="34">
        <f t="shared" ref="E23" si="15">E22/E$5</f>
        <v>2.5407176529545161E-2</v>
      </c>
      <c r="F23" s="34">
        <f t="shared" ref="F23" si="16">F22/F$5</f>
        <v>2.6567491910858814E-2</v>
      </c>
      <c r="G23" s="34">
        <f t="shared" ref="G23" si="17">G22/G$5</f>
        <v>2.4600147055010454E-2</v>
      </c>
      <c r="H23" s="34">
        <f t="shared" ref="H23" si="18">H22/H$5</f>
        <v>2.0669603228308183E-2</v>
      </c>
      <c r="I23" s="34">
        <f t="shared" ref="I23" si="19">I22/I$5</f>
        <v>1.5011607964482362E-2</v>
      </c>
      <c r="J23" s="34">
        <f t="shared" ref="J23" si="20">J22/J$5</f>
        <v>8.2093143787946105E-2</v>
      </c>
    </row>
    <row r="25" spans="2:10" x14ac:dyDescent="0.45">
      <c r="B25" s="31" t="s">
        <v>108</v>
      </c>
      <c r="C25" s="28">
        <f>C16-SUM(C19,C22)</f>
        <v>20704.109999999993</v>
      </c>
      <c r="D25" s="28">
        <f>D16-SUM(D19,D22)</f>
        <v>11855.530000000024</v>
      </c>
      <c r="E25" s="28">
        <f t="shared" ref="E25:I25" si="21">E16-SUM(E19,E22)</f>
        <v>4110.7399999999634</v>
      </c>
      <c r="F25" s="28">
        <f t="shared" si="21"/>
        <v>17553.839999999989</v>
      </c>
      <c r="G25" s="28">
        <f t="shared" si="21"/>
        <v>8558.2300000000141</v>
      </c>
      <c r="H25" s="28">
        <f t="shared" si="21"/>
        <v>14439.31999999996</v>
      </c>
      <c r="I25" s="28">
        <f t="shared" si="21"/>
        <v>42978.580000000038</v>
      </c>
      <c r="J25" s="28">
        <f>J16-SUM(J19,J22)</f>
        <v>2739</v>
      </c>
    </row>
    <row r="26" spans="2:10" x14ac:dyDescent="0.45">
      <c r="B26" s="33" t="s">
        <v>109</v>
      </c>
      <c r="C26" s="33">
        <f t="shared" ref="C26" si="22">C25/C$5</f>
        <v>7.1013808655022603E-2</v>
      </c>
      <c r="D26" s="34">
        <f t="shared" ref="D26" si="23">D25/D$5</f>
        <v>3.9264730819266527E-2</v>
      </c>
      <c r="E26" s="34">
        <f t="shared" ref="E26" si="24">E25/E$5</f>
        <v>1.5745861125744241E-2</v>
      </c>
      <c r="F26" s="34">
        <f t="shared" ref="F26" si="25">F25/F$5</f>
        <v>7.0273054177479671E-2</v>
      </c>
      <c r="G26" s="34">
        <f t="shared" ref="G26" si="26">G25/G$5</f>
        <v>3.0734849128555106E-2</v>
      </c>
      <c r="H26" s="34">
        <f t="shared" ref="H26" si="27">H25/H$5</f>
        <v>4.1736122959946033E-2</v>
      </c>
      <c r="I26" s="34">
        <f t="shared" ref="I26" si="28">I25/I$5</f>
        <v>9.8140796140879658E-2</v>
      </c>
      <c r="J26" s="34">
        <f t="shared" ref="J26" si="29">J25/J$5</f>
        <v>2.5349844513549533E-2</v>
      </c>
    </row>
    <row r="28" spans="2:10" x14ac:dyDescent="0.45">
      <c r="B28" s="31" t="s">
        <v>13</v>
      </c>
      <c r="C28" s="28">
        <f>IFERROR('Data Sheet'!E29,0)</f>
        <v>4341.93</v>
      </c>
      <c r="D28" s="28">
        <f>IFERROR('Data Sheet'!F29,0)</f>
        <v>-2437.4499999999998</v>
      </c>
      <c r="E28" s="28">
        <f>IFERROR('Data Sheet'!G29,0)</f>
        <v>395.25</v>
      </c>
      <c r="F28" s="28">
        <f>IFERROR('Data Sheet'!H29,0)</f>
        <v>2541.86</v>
      </c>
      <c r="G28" s="28">
        <f>IFERROR('Data Sheet'!I29,0)</f>
        <v>4231.29</v>
      </c>
      <c r="H28" s="28">
        <f>IFERROR('Data Sheet'!J29,0)</f>
        <v>704.06</v>
      </c>
      <c r="I28" s="28">
        <f>IFERROR('Data Sheet'!K29,0)</f>
        <v>-3851.64</v>
      </c>
      <c r="J28" s="28">
        <f>IFERROR(SUM('Data Sheet'!K48),0)</f>
        <v>3178</v>
      </c>
    </row>
    <row r="29" spans="2:10" x14ac:dyDescent="0.45">
      <c r="B29" s="33" t="s">
        <v>110</v>
      </c>
      <c r="C29" s="33">
        <f>C28/C25</f>
        <v>0.2097134337095389</v>
      </c>
      <c r="D29" s="34">
        <f t="shared" ref="D29:I29" si="30">D28/D25</f>
        <v>-0.205596038304487</v>
      </c>
      <c r="E29" s="34">
        <f t="shared" si="30"/>
        <v>9.6150571429962375E-2</v>
      </c>
      <c r="F29" s="34">
        <f t="shared" si="30"/>
        <v>0.1448036441029428</v>
      </c>
      <c r="G29" s="34">
        <f t="shared" si="30"/>
        <v>0.49441181178818433</v>
      </c>
      <c r="H29" s="34">
        <f t="shared" si="30"/>
        <v>4.8759913901762819E-2</v>
      </c>
      <c r="I29" s="34">
        <f t="shared" si="30"/>
        <v>-8.9617665357952653E-2</v>
      </c>
      <c r="J29" s="34">
        <f>J28/J25</f>
        <v>1.1602774735304855</v>
      </c>
    </row>
    <row r="31" spans="2:10" x14ac:dyDescent="0.45">
      <c r="B31" s="31" t="s">
        <v>111</v>
      </c>
      <c r="C31" s="28">
        <f>IFERROR(C25-C29,0)</f>
        <v>20703.900286566284</v>
      </c>
      <c r="D31" s="28">
        <f t="shared" ref="D31:I31" si="31">IFERROR(D25-D29,0)</f>
        <v>11855.735596038328</v>
      </c>
      <c r="E31" s="28">
        <f t="shared" si="31"/>
        <v>4110.643849428533</v>
      </c>
      <c r="F31" s="28">
        <f t="shared" si="31"/>
        <v>17553.695196355886</v>
      </c>
      <c r="G31" s="28">
        <f t="shared" si="31"/>
        <v>8557.7355881882268</v>
      </c>
      <c r="H31" s="28">
        <f t="shared" si="31"/>
        <v>14439.271240086058</v>
      </c>
      <c r="I31" s="28">
        <f t="shared" si="31"/>
        <v>42978.669617665393</v>
      </c>
      <c r="J31" s="28">
        <f>IFERROR(SUM('Data Sheet'!K49:K49),0)</f>
        <v>5566</v>
      </c>
    </row>
    <row r="32" spans="2:10" x14ac:dyDescent="0.45">
      <c r="B32" s="33" t="s">
        <v>112</v>
      </c>
      <c r="C32" s="33">
        <f t="shared" ref="C32" si="32">C31/C$5</f>
        <v>7.101308935099776E-2</v>
      </c>
      <c r="D32" s="34">
        <f t="shared" ref="D32" si="33">D31/D$5</f>
        <v>3.9265411739740054E-2</v>
      </c>
      <c r="E32" s="34">
        <f t="shared" ref="E32" si="34">E31/E$5</f>
        <v>1.5745492828662715E-2</v>
      </c>
      <c r="F32" s="34">
        <f t="shared" ref="F32" si="35">F31/F$5</f>
        <v>7.0272474486977349E-2</v>
      </c>
      <c r="G32" s="34">
        <f t="shared" ref="G32" si="36">G31/G$5</f>
        <v>3.0733073566033105E-2</v>
      </c>
      <c r="H32" s="34">
        <f t="shared" ref="H32" si="37">H31/H$5</f>
        <v>4.1735982021885096E-2</v>
      </c>
      <c r="I32" s="34">
        <f t="shared" ref="I32:J32" si="38">I31/I$5</f>
        <v>9.8141000781168525E-2</v>
      </c>
      <c r="J32" s="34">
        <f t="shared" si="38"/>
        <v>5.1514141862875756E-2</v>
      </c>
    </row>
    <row r="34" spans="1:10" x14ac:dyDescent="0.45">
      <c r="B34" s="31" t="s">
        <v>113</v>
      </c>
      <c r="C34" s="31">
        <f>IFERROR('Data Sheet'!E93,0)</f>
        <v>288.73</v>
      </c>
      <c r="D34" s="31">
        <f>IFERROR('Data Sheet'!F93,0)</f>
        <v>288.73</v>
      </c>
      <c r="E34" s="31">
        <f>IFERROR('Data Sheet'!G93,0)</f>
        <v>308.89999999999998</v>
      </c>
      <c r="F34" s="31">
        <f>IFERROR('Data Sheet'!H93,0)</f>
        <v>332.03</v>
      </c>
      <c r="G34" s="31">
        <f>IFERROR('Data Sheet'!I93,0)</f>
        <v>332.07</v>
      </c>
      <c r="H34" s="31">
        <f>IFERROR('Data Sheet'!J93,0)</f>
        <v>332.13</v>
      </c>
      <c r="I34" s="31">
        <f>IFERROR('Data Sheet'!K93,0)</f>
        <v>332.37</v>
      </c>
    </row>
    <row r="35" spans="1:10" x14ac:dyDescent="0.45">
      <c r="B35" s="31" t="s">
        <v>57</v>
      </c>
      <c r="C35" s="28">
        <f>C31/C34</f>
        <v>71.706785878039284</v>
      </c>
      <c r="D35" s="28">
        <f t="shared" ref="D35:I35" si="39">D31/D34</f>
        <v>41.061668673287599</v>
      </c>
      <c r="E35" s="28">
        <f t="shared" si="39"/>
        <v>13.307361118253588</v>
      </c>
      <c r="F35" s="28">
        <f t="shared" si="39"/>
        <v>52.867798681913946</v>
      </c>
      <c r="G35" s="28">
        <f t="shared" si="39"/>
        <v>25.770878393676714</v>
      </c>
      <c r="H35" s="28">
        <f t="shared" si="39"/>
        <v>43.474757595176762</v>
      </c>
      <c r="I35" s="28">
        <f t="shared" si="39"/>
        <v>129.30971392624301</v>
      </c>
    </row>
    <row r="36" spans="1:10" x14ac:dyDescent="0.45">
      <c r="B36" s="33" t="s">
        <v>116</v>
      </c>
      <c r="C36" s="33"/>
      <c r="D36" s="34">
        <f>IFERROR(D35/C35 -1,0)</f>
        <v>-0.42736704524553193</v>
      </c>
      <c r="E36" s="34">
        <f t="shared" ref="E36:I36" si="40">IFERROR(E35/D35 -1,0)</f>
        <v>-0.67591767338694142</v>
      </c>
      <c r="F36" s="34">
        <f t="shared" si="40"/>
        <v>2.9728236283747993</v>
      </c>
      <c r="G36" s="34">
        <f t="shared" si="40"/>
        <v>-0.51254111129667823</v>
      </c>
      <c r="H36" s="34">
        <f t="shared" si="40"/>
        <v>0.6869722844155739</v>
      </c>
      <c r="I36" s="34">
        <f t="shared" si="40"/>
        <v>1.9743630805336352</v>
      </c>
      <c r="J36" s="34"/>
    </row>
    <row r="37" spans="1:10" x14ac:dyDescent="0.45">
      <c r="B37" s="33"/>
      <c r="C37" s="33"/>
      <c r="D37" s="34"/>
      <c r="E37" s="34"/>
      <c r="F37" s="34"/>
      <c r="G37" s="34"/>
      <c r="H37" s="34"/>
      <c r="I37" s="34"/>
      <c r="J37" s="34"/>
    </row>
    <row r="38" spans="1:10" x14ac:dyDescent="0.45">
      <c r="B38" s="31" t="s">
        <v>115</v>
      </c>
      <c r="C38" s="28">
        <f>IFERROR('Data Sheet'!E31,0)</f>
        <v>0</v>
      </c>
      <c r="D38" s="28">
        <f>IFERROR('Data Sheet'!F31,0)</f>
        <v>0</v>
      </c>
      <c r="E38" s="28">
        <f>IFERROR('Data Sheet'!G31,0)</f>
        <v>0</v>
      </c>
      <c r="F38" s="28">
        <f>IFERROR('Data Sheet'!H31,0)</f>
        <v>0</v>
      </c>
      <c r="G38" s="28">
        <f>IFERROR('Data Sheet'!I31,0)</f>
        <v>0</v>
      </c>
      <c r="H38" s="28">
        <f>IFERROR('Data Sheet'!J31,0)</f>
        <v>766.02</v>
      </c>
      <c r="I38" s="28">
        <f>IFERROR('Data Sheet'!K31,0)</f>
        <v>4675.6499999999996</v>
      </c>
      <c r="J38" s="31">
        <f>IFERROR('Data Sheet'!L31,0)</f>
        <v>0</v>
      </c>
    </row>
    <row r="39" spans="1:10" x14ac:dyDescent="0.45">
      <c r="B39" s="31" t="s">
        <v>114</v>
      </c>
      <c r="C39" s="28">
        <f t="shared" ref="C39:I39" si="41">C38/C34</f>
        <v>0</v>
      </c>
      <c r="D39" s="28">
        <f t="shared" si="41"/>
        <v>0</v>
      </c>
      <c r="E39" s="28">
        <f t="shared" si="41"/>
        <v>0</v>
      </c>
      <c r="F39" s="28">
        <f t="shared" si="41"/>
        <v>0</v>
      </c>
      <c r="G39" s="28">
        <f t="shared" si="41"/>
        <v>0</v>
      </c>
      <c r="H39" s="28">
        <f t="shared" si="41"/>
        <v>2.3063860536536898</v>
      </c>
      <c r="I39" s="28">
        <f t="shared" si="41"/>
        <v>14.067605379546888</v>
      </c>
      <c r="J39" s="31">
        <f>IFERROR(J38/J34,0)</f>
        <v>0</v>
      </c>
    </row>
    <row r="40" spans="1:10" x14ac:dyDescent="0.45">
      <c r="B40" s="33" t="s">
        <v>117</v>
      </c>
      <c r="C40" s="33">
        <f>IFERROR(C39/C35,0)</f>
        <v>0</v>
      </c>
      <c r="D40" s="34">
        <f t="shared" ref="D40:I40" si="42">IFERROR(D39/D35,0)</f>
        <v>0</v>
      </c>
      <c r="E40" s="34">
        <f t="shared" si="42"/>
        <v>0</v>
      </c>
      <c r="F40" s="34">
        <f t="shared" si="42"/>
        <v>0</v>
      </c>
      <c r="G40" s="34">
        <f t="shared" si="42"/>
        <v>0</v>
      </c>
      <c r="H40" s="34">
        <f t="shared" si="42"/>
        <v>5.3051153847251543E-2</v>
      </c>
      <c r="I40" s="34">
        <f t="shared" si="42"/>
        <v>0.10879001238507814</v>
      </c>
      <c r="J40" s="34"/>
    </row>
    <row r="42" spans="1:10" x14ac:dyDescent="0.45">
      <c r="B42" s="31" t="s">
        <v>118</v>
      </c>
      <c r="C42" s="35">
        <f>IFERROR(IF(C35&gt;C39,1-C40,0),0)</f>
        <v>1</v>
      </c>
      <c r="D42" s="35">
        <f t="shared" ref="D42:I42" si="43">IFERROR(IF(D35&gt;D39,1-D40,0),0)</f>
        <v>1</v>
      </c>
      <c r="E42" s="35">
        <f t="shared" si="43"/>
        <v>1</v>
      </c>
      <c r="F42" s="35">
        <f t="shared" si="43"/>
        <v>1</v>
      </c>
      <c r="G42" s="35">
        <f t="shared" si="43"/>
        <v>1</v>
      </c>
      <c r="H42" s="35">
        <f t="shared" si="43"/>
        <v>0.94694884615274844</v>
      </c>
      <c r="I42" s="35">
        <f t="shared" si="43"/>
        <v>0.89120998761492187</v>
      </c>
    </row>
    <row r="45" spans="1:10" x14ac:dyDescent="0.45">
      <c r="A45" s="31" t="s">
        <v>95</v>
      </c>
      <c r="B45" s="32" t="s">
        <v>119</v>
      </c>
      <c r="C45" s="32"/>
      <c r="D45" s="32"/>
      <c r="E45" s="32"/>
      <c r="F45" s="32"/>
      <c r="G45" s="32"/>
      <c r="H45" s="32"/>
      <c r="I45" s="32"/>
      <c r="J45" s="32"/>
    </row>
    <row r="47" spans="1:10" x14ac:dyDescent="0.45">
      <c r="B47" s="31" t="s">
        <v>24</v>
      </c>
      <c r="C47" s="28">
        <f>'Data Sheet'!E57</f>
        <v>679.22</v>
      </c>
      <c r="D47" s="28">
        <f>'Data Sheet'!F57</f>
        <v>679.22</v>
      </c>
      <c r="E47" s="28">
        <f>'Data Sheet'!G57</f>
        <v>719.54</v>
      </c>
      <c r="F47" s="28">
        <f>'Data Sheet'!H57</f>
        <v>765.81</v>
      </c>
      <c r="G47" s="28">
        <f>'Data Sheet'!I57</f>
        <v>765.88</v>
      </c>
      <c r="H47" s="28">
        <f>'Data Sheet'!J57</f>
        <v>766.02</v>
      </c>
      <c r="I47" s="28">
        <f>'Data Sheet'!K57</f>
        <v>766.5</v>
      </c>
      <c r="J47" s="31">
        <f>'Data Sheet'!L57</f>
        <v>0</v>
      </c>
    </row>
    <row r="48" spans="1:10" x14ac:dyDescent="0.45">
      <c r="B48" s="31" t="s">
        <v>25</v>
      </c>
      <c r="C48" s="28">
        <f>'Data Sheet'!E58</f>
        <v>94748.69</v>
      </c>
      <c r="D48" s="28">
        <f>'Data Sheet'!F58</f>
        <v>59500.34</v>
      </c>
      <c r="E48" s="28">
        <f>'Data Sheet'!G58</f>
        <v>61491.49</v>
      </c>
      <c r="F48" s="28">
        <f>'Data Sheet'!H58</f>
        <v>54480.91</v>
      </c>
      <c r="G48" s="28">
        <f>'Data Sheet'!I58</f>
        <v>43795.360000000001</v>
      </c>
      <c r="H48" s="28">
        <f>'Data Sheet'!J58</f>
        <v>44555.77</v>
      </c>
      <c r="I48" s="28">
        <f>'Data Sheet'!K58</f>
        <v>84151.52</v>
      </c>
      <c r="J48" s="31">
        <f>'Data Sheet'!L58</f>
        <v>0</v>
      </c>
    </row>
    <row r="49" spans="2:10" x14ac:dyDescent="0.45">
      <c r="B49" s="31" t="s">
        <v>71</v>
      </c>
      <c r="C49" s="28">
        <f>'Data Sheet'!E59</f>
        <v>88950.47</v>
      </c>
      <c r="D49" s="28">
        <f>'Data Sheet'!F59</f>
        <v>106175.34</v>
      </c>
      <c r="E49" s="28">
        <f>'Data Sheet'!G59</f>
        <v>124787.64</v>
      </c>
      <c r="F49" s="28">
        <f>'Data Sheet'!H59</f>
        <v>142130.57</v>
      </c>
      <c r="G49" s="28">
        <f>'Data Sheet'!I59</f>
        <v>146449.03</v>
      </c>
      <c r="H49" s="28">
        <f>'Data Sheet'!J59</f>
        <v>134113.44</v>
      </c>
      <c r="I49" s="28">
        <f>'Data Sheet'!K59</f>
        <v>107262.5</v>
      </c>
      <c r="J49" s="31">
        <f>'Data Sheet'!L59</f>
        <v>0</v>
      </c>
    </row>
    <row r="50" spans="2:10" ht="14.65" thickBot="1" x14ac:dyDescent="0.5">
      <c r="B50" s="31" t="s">
        <v>72</v>
      </c>
      <c r="C50" s="28">
        <f>'Data Sheet'!E60</f>
        <v>142813.43</v>
      </c>
      <c r="D50" s="28">
        <f>'Data Sheet'!F60</f>
        <v>139348.59</v>
      </c>
      <c r="E50" s="28">
        <f>'Data Sheet'!G60</f>
        <v>133180.72</v>
      </c>
      <c r="F50" s="28">
        <f>'Data Sheet'!H60</f>
        <v>144192.62</v>
      </c>
      <c r="G50" s="28">
        <f>'Data Sheet'!I60</f>
        <v>138051.22</v>
      </c>
      <c r="H50" s="28">
        <f>'Data Sheet'!J60</f>
        <v>155239.20000000001</v>
      </c>
      <c r="I50" s="28">
        <f>'Data Sheet'!K60</f>
        <v>177340.09</v>
      </c>
      <c r="J50" s="31">
        <f>'Data Sheet'!L60</f>
        <v>0</v>
      </c>
    </row>
    <row r="51" spans="2:10" ht="15" thickTop="1" thickBot="1" x14ac:dyDescent="0.5">
      <c r="B51" s="36" t="s">
        <v>120</v>
      </c>
      <c r="C51" s="38">
        <f>IF(SUM(C47:C50)='Data Sheet'!E61,(SUM(C47:C50)),"Doesnt Tally")</f>
        <v>327191.81</v>
      </c>
      <c r="D51" s="38">
        <f>IF(SUM(D47:D50)='Data Sheet'!F61,(SUM(D47:D50)),"DOesnt Tally")</f>
        <v>305703.49</v>
      </c>
      <c r="E51" s="38">
        <f>IF(SUM(E47:E50)='Data Sheet'!G61,(SUM(E47:E50)),"DOesnt Tally")</f>
        <v>320179.39</v>
      </c>
      <c r="F51" s="38">
        <f>IF(SUM(F47:F50)='Data Sheet'!H61,(SUM(F47:F50)),"DOesnt Tally")</f>
        <v>341569.91000000003</v>
      </c>
      <c r="G51" s="38">
        <f>IF(SUM(G47:G50)='Data Sheet'!I61,(SUM(G47:G50)),"DOesnt Tally")</f>
        <v>329061.49</v>
      </c>
      <c r="H51" s="38">
        <f>IF(SUM(H47:H50)='Data Sheet'!J61,(SUM(H47:H50)),"DOesnt Tally")</f>
        <v>334674.43</v>
      </c>
      <c r="I51" s="38">
        <f>IF(SUM(I47:I50)='Data Sheet'!K61,(SUM(I47:I50)),"DOesnt Tally")</f>
        <v>369520.61</v>
      </c>
      <c r="J51" s="31">
        <f>IF(SUM(J47:J50)='Data Sheet'!L61,(SUM(J47:J50)),"DOesnt Tally")</f>
        <v>0</v>
      </c>
    </row>
    <row r="52" spans="2:10" ht="14.65" thickTop="1" x14ac:dyDescent="0.45"/>
    <row r="53" spans="2:10" x14ac:dyDescent="0.45">
      <c r="B53" s="31" t="s">
        <v>121</v>
      </c>
      <c r="C53" s="28">
        <f>IFERROR('Data Sheet'!E62,0)</f>
        <v>121413.86</v>
      </c>
      <c r="D53" s="28">
        <f>IFERROR('Data Sheet'!F62,0)</f>
        <v>111234.47</v>
      </c>
      <c r="E53" s="28">
        <f>IFERROR('Data Sheet'!G62,0)</f>
        <v>127107.14</v>
      </c>
      <c r="F53" s="28">
        <f>IFERROR('Data Sheet'!H62,0)</f>
        <v>138707.60999999999</v>
      </c>
      <c r="G53" s="28">
        <f>IFERROR('Data Sheet'!I62,0)</f>
        <v>138855.45000000001</v>
      </c>
      <c r="H53" s="28">
        <f>IFERROR('Data Sheet'!J62,0)</f>
        <v>132079.76</v>
      </c>
      <c r="I53" s="28">
        <f>IFERROR('Data Sheet'!K62,0)</f>
        <v>121285.46</v>
      </c>
      <c r="J53" s="31">
        <f>IFERROR('Data Sheet'!L62,0)</f>
        <v>0</v>
      </c>
    </row>
    <row r="54" spans="2:10" x14ac:dyDescent="0.45">
      <c r="B54" s="31" t="s">
        <v>28</v>
      </c>
      <c r="C54" s="28">
        <f>IFERROR('Data Sheet'!E63,0)</f>
        <v>40033.5</v>
      </c>
      <c r="D54" s="28">
        <f>IFERROR('Data Sheet'!F63,0)</f>
        <v>31883.84</v>
      </c>
      <c r="E54" s="28">
        <f>IFERROR('Data Sheet'!G63,0)</f>
        <v>35622.29</v>
      </c>
      <c r="F54" s="28">
        <f>IFERROR('Data Sheet'!H63,0)</f>
        <v>20963.93</v>
      </c>
      <c r="G54" s="28">
        <f>IFERROR('Data Sheet'!I63,0)</f>
        <v>10251.09</v>
      </c>
      <c r="H54" s="28">
        <f>IFERROR('Data Sheet'!J63,0)</f>
        <v>14274.5</v>
      </c>
      <c r="I54" s="28">
        <f>IFERROR('Data Sheet'!K63,0)</f>
        <v>35698.43</v>
      </c>
      <c r="J54" s="31">
        <f>IFERROR('Data Sheet'!L63,0)</f>
        <v>0</v>
      </c>
    </row>
    <row r="55" spans="2:10" x14ac:dyDescent="0.45">
      <c r="B55" s="31" t="s">
        <v>29</v>
      </c>
      <c r="C55" s="28">
        <f>IFERROR('Data Sheet'!E64,0)</f>
        <v>20812.75</v>
      </c>
      <c r="D55" s="28">
        <f>IFERROR('Data Sheet'!F64,0)</f>
        <v>15770.72</v>
      </c>
      <c r="E55" s="28">
        <f>IFERROR('Data Sheet'!G64,0)</f>
        <v>16308.48</v>
      </c>
      <c r="F55" s="28">
        <f>IFERROR('Data Sheet'!H64,0)</f>
        <v>24620.28</v>
      </c>
      <c r="G55" s="28">
        <f>IFERROR('Data Sheet'!I64,0)</f>
        <v>29379.53</v>
      </c>
      <c r="H55" s="28">
        <f>IFERROR('Data Sheet'!J64,0)</f>
        <v>26379.16</v>
      </c>
      <c r="I55" s="28">
        <f>IFERROR('Data Sheet'!K64,0)</f>
        <v>22971.07</v>
      </c>
      <c r="J55" s="31">
        <f>IFERROR('Data Sheet'!L64,0)</f>
        <v>0</v>
      </c>
    </row>
    <row r="56" spans="2:10" ht="14.65" thickBot="1" x14ac:dyDescent="0.5">
      <c r="B56" s="31" t="s">
        <v>73</v>
      </c>
      <c r="C56" s="28">
        <f>IFERROR('Data Sheet'!E65-SUM(C59:C61),0)</f>
        <v>48286.860000000015</v>
      </c>
      <c r="D56" s="28">
        <f>IFERROR('Data Sheet'!F65-SUM(D59:D61),0)</f>
        <v>56155.739999999991</v>
      </c>
      <c r="E56" s="28">
        <f>IFERROR('Data Sheet'!G65-SUM(E59:E61),0)</f>
        <v>58784.94</v>
      </c>
      <c r="F56" s="28">
        <f>IFERROR('Data Sheet'!H65-SUM(F59:F61),0)</f>
        <v>61717.959999999992</v>
      </c>
      <c r="G56" s="28">
        <f>IFERROR('Data Sheet'!I65-SUM(G59:G61),0)</f>
        <v>62223.770000000019</v>
      </c>
      <c r="H56" s="28">
        <f>IFERROR('Data Sheet'!J65-SUM(H59:H61),0)</f>
        <v>68432.090000000011</v>
      </c>
      <c r="I56" s="28">
        <f>IFERROR('Data Sheet'!K65-SUM(I59:I61),0)</f>
        <v>79018.859999999986</v>
      </c>
      <c r="J56" s="31">
        <f>IFERROR('Data Sheet'!L65,0)</f>
        <v>0</v>
      </c>
    </row>
    <row r="57" spans="2:10" ht="15" thickTop="1" thickBot="1" x14ac:dyDescent="0.5">
      <c r="B57" s="36" t="s">
        <v>122</v>
      </c>
      <c r="C57" s="38">
        <f>SUM(C56,C55,C54,C53)</f>
        <v>230546.97000000003</v>
      </c>
      <c r="D57" s="38">
        <f t="shared" ref="D57:I57" si="44">SUM(D56,D55,D54,D53)</f>
        <v>215044.77</v>
      </c>
      <c r="E57" s="38">
        <f t="shared" si="44"/>
        <v>237822.84999999998</v>
      </c>
      <c r="F57" s="38">
        <f t="shared" si="44"/>
        <v>246009.77999999997</v>
      </c>
      <c r="G57" s="38">
        <f t="shared" si="44"/>
        <v>240709.84000000003</v>
      </c>
      <c r="H57" s="38">
        <f t="shared" si="44"/>
        <v>241165.51</v>
      </c>
      <c r="I57" s="38">
        <f t="shared" si="44"/>
        <v>258973.82</v>
      </c>
      <c r="J57" s="31">
        <f>IF(SUM(J53:J56)='Data Sheet'!L66,(SUM(J53:J56)),"Doesnt Tally")</f>
        <v>0</v>
      </c>
    </row>
    <row r="58" spans="2:10" ht="14.65" thickTop="1" x14ac:dyDescent="0.45">
      <c r="B58" s="37"/>
      <c r="C58" s="28"/>
      <c r="D58" s="28"/>
      <c r="E58" s="28"/>
      <c r="F58" s="28"/>
      <c r="G58" s="28"/>
      <c r="H58" s="28"/>
      <c r="I58" s="28"/>
    </row>
    <row r="59" spans="2:10" x14ac:dyDescent="0.45">
      <c r="B59" s="31" t="s">
        <v>78</v>
      </c>
      <c r="C59" s="28">
        <f>IFERROR('Data Sheet'!E67,0)</f>
        <v>19893.3</v>
      </c>
      <c r="D59" s="28">
        <f>IFERROR('Data Sheet'!F67,0)</f>
        <v>18996.169999999998</v>
      </c>
      <c r="E59" s="28">
        <f>IFERROR('Data Sheet'!G67,0)</f>
        <v>11172.69</v>
      </c>
      <c r="F59" s="28">
        <f>IFERROR('Data Sheet'!H67,0)</f>
        <v>12679.08</v>
      </c>
      <c r="G59" s="28">
        <f>IFERROR('Data Sheet'!I67,0)</f>
        <v>12442.12</v>
      </c>
      <c r="H59" s="28">
        <f>IFERROR('Data Sheet'!J67,0)</f>
        <v>15737.97</v>
      </c>
      <c r="I59" s="28">
        <f>IFERROR('Data Sheet'!K67,0)</f>
        <v>16951.810000000001</v>
      </c>
      <c r="J59" s="31">
        <f>IFERROR('Data Sheet'!L67,0)</f>
        <v>0</v>
      </c>
    </row>
    <row r="60" spans="2:10" x14ac:dyDescent="0.45">
      <c r="B60" s="31" t="s">
        <v>45</v>
      </c>
      <c r="C60" s="28">
        <f>IFERROR('Data Sheet'!E68,0)</f>
        <v>42137.63</v>
      </c>
      <c r="D60" s="28">
        <f>IFERROR('Data Sheet'!F68,0)</f>
        <v>39013.730000000003</v>
      </c>
      <c r="E60" s="28">
        <f>IFERROR('Data Sheet'!G68,0)</f>
        <v>37456.879999999997</v>
      </c>
      <c r="F60" s="28">
        <f>IFERROR('Data Sheet'!H68,0)</f>
        <v>36088.589999999997</v>
      </c>
      <c r="G60" s="28">
        <f>IFERROR('Data Sheet'!I68,0)</f>
        <v>35240.339999999997</v>
      </c>
      <c r="H60" s="28">
        <f>IFERROR('Data Sheet'!J68,0)</f>
        <v>40755.39</v>
      </c>
      <c r="I60" s="28">
        <f>IFERROR('Data Sheet'!K68,0)</f>
        <v>47788.29</v>
      </c>
      <c r="J60" s="31">
        <f>IFERROR('Data Sheet'!L68,0)</f>
        <v>0</v>
      </c>
    </row>
    <row r="61" spans="2:10" ht="14.65" thickBot="1" x14ac:dyDescent="0.5">
      <c r="B61" s="31" t="s">
        <v>87</v>
      </c>
      <c r="C61" s="28">
        <f>IFERROR('Data Sheet'!E69,0)</f>
        <v>34613.910000000003</v>
      </c>
      <c r="D61" s="28">
        <f>IFERROR('Data Sheet'!F69,0)</f>
        <v>32648.82</v>
      </c>
      <c r="E61" s="28">
        <f>IFERROR('Data Sheet'!G69,0)</f>
        <v>33726.97</v>
      </c>
      <c r="F61" s="28">
        <f>IFERROR('Data Sheet'!H69,0)</f>
        <v>46792.46</v>
      </c>
      <c r="G61" s="28">
        <f>IFERROR('Data Sheet'!I69,0)</f>
        <v>40669.19</v>
      </c>
      <c r="H61" s="28">
        <f>IFERROR('Data Sheet'!J69,0)</f>
        <v>37015.56</v>
      </c>
      <c r="I61" s="28">
        <f>IFERROR('Data Sheet'!K69,0)</f>
        <v>45806.69</v>
      </c>
      <c r="J61" s="31">
        <f>IFERROR('Data Sheet'!L69,0)</f>
        <v>0</v>
      </c>
    </row>
    <row r="62" spans="2:10" ht="15" thickTop="1" thickBot="1" x14ac:dyDescent="0.5">
      <c r="B62" s="36" t="s">
        <v>123</v>
      </c>
      <c r="C62" s="38">
        <f>SUM(C59:C61)</f>
        <v>96644.84</v>
      </c>
      <c r="D62" s="38">
        <f t="shared" ref="D62:I62" si="45">SUM(D59:D61)</f>
        <v>90658.72</v>
      </c>
      <c r="E62" s="38">
        <f t="shared" si="45"/>
        <v>82356.540000000008</v>
      </c>
      <c r="F62" s="38">
        <f t="shared" si="45"/>
        <v>95560.13</v>
      </c>
      <c r="G62" s="38">
        <f t="shared" si="45"/>
        <v>88351.65</v>
      </c>
      <c r="H62" s="38">
        <f t="shared" si="45"/>
        <v>93508.92</v>
      </c>
      <c r="I62" s="38">
        <f t="shared" si="45"/>
        <v>110546.79000000001</v>
      </c>
    </row>
    <row r="63" spans="2:10" ht="15" thickTop="1" thickBot="1" x14ac:dyDescent="0.5">
      <c r="C63" s="28"/>
      <c r="D63" s="28"/>
      <c r="E63" s="28"/>
      <c r="F63" s="28"/>
      <c r="G63" s="28"/>
      <c r="H63" s="28"/>
      <c r="I63" s="28"/>
    </row>
    <row r="64" spans="2:10" ht="15" thickTop="1" thickBot="1" x14ac:dyDescent="0.5">
      <c r="B64" s="36" t="s">
        <v>124</v>
      </c>
      <c r="C64" s="38">
        <f>C62+C57</f>
        <v>327191.81000000006</v>
      </c>
      <c r="D64" s="38">
        <f t="shared" ref="D64:I64" si="46">D62+D57</f>
        <v>305703.49</v>
      </c>
      <c r="E64" s="38">
        <f t="shared" si="46"/>
        <v>320179.39</v>
      </c>
      <c r="F64" s="38">
        <f t="shared" si="46"/>
        <v>341569.91</v>
      </c>
      <c r="G64" s="38">
        <f t="shared" si="46"/>
        <v>329061.49</v>
      </c>
      <c r="H64" s="38">
        <f t="shared" si="46"/>
        <v>334674.43</v>
      </c>
      <c r="I64" s="38">
        <f t="shared" si="46"/>
        <v>369520.61</v>
      </c>
    </row>
    <row r="65" spans="2:9" ht="14.65" thickTop="1" x14ac:dyDescent="0.45"/>
    <row r="66" spans="2:9" x14ac:dyDescent="0.45">
      <c r="B66" s="32" t="s">
        <v>154</v>
      </c>
      <c r="C66" s="32"/>
      <c r="D66" s="32"/>
      <c r="E66" s="32"/>
      <c r="F66" s="32"/>
      <c r="G66" s="32"/>
      <c r="H66" s="32"/>
      <c r="I66" s="32"/>
    </row>
    <row r="67" spans="2:9" hidden="1" outlineLevel="1" x14ac:dyDescent="0.45"/>
    <row r="68" spans="2:9" hidden="1" outlineLevel="1" x14ac:dyDescent="0.45">
      <c r="B68" s="37" t="s">
        <v>155</v>
      </c>
    </row>
    <row r="69" spans="2:9" hidden="1" outlineLevel="1" x14ac:dyDescent="0.45">
      <c r="B69" s="31" t="s">
        <v>126</v>
      </c>
      <c r="C69" s="28">
        <f>IFERROR(Cashflow!C6,0)</f>
        <v>24406</v>
      </c>
      <c r="D69" s="28">
        <f>IFERROR(Cashflow!D6,0)</f>
        <v>36303</v>
      </c>
      <c r="E69" s="28">
        <f>IFERROR(Cashflow!E6,0)</f>
        <v>43397</v>
      </c>
      <c r="F69" s="28">
        <f>IFERROR(Cashflow!F6,0)</f>
        <v>38626</v>
      </c>
      <c r="G69" s="28">
        <f>IFERROR(Cashflow!G6,0)</f>
        <v>28840</v>
      </c>
      <c r="H69" s="28">
        <f>IFERROR(Cashflow!H6,0)</f>
        <v>33312</v>
      </c>
      <c r="I69" s="28">
        <f>IFERROR(Cashflow!I6,0)</f>
        <v>28771</v>
      </c>
    </row>
    <row r="70" spans="2:9" hidden="1" outlineLevel="1" x14ac:dyDescent="0.45">
      <c r="B70" s="31" t="s">
        <v>78</v>
      </c>
      <c r="C70" s="28">
        <f>IFERROR(Cashflow!C7,0)</f>
        <v>-5177</v>
      </c>
      <c r="D70" s="28">
        <f>IFERROR(Cashflow!D7,0)</f>
        <v>445</v>
      </c>
      <c r="E70" s="28">
        <f>IFERROR(Cashflow!E7,0)</f>
        <v>-3179</v>
      </c>
      <c r="F70" s="28">
        <f>IFERROR(Cashflow!F7,0)</f>
        <v>-2223</v>
      </c>
      <c r="G70" s="28">
        <f>IFERROR(Cashflow!G7,0)</f>
        <v>-4152</v>
      </c>
      <c r="H70" s="28">
        <f>IFERROR(Cashflow!H7,0)</f>
        <v>-10688</v>
      </c>
      <c r="I70" s="28">
        <f>IFERROR(Cashflow!I7,0)</f>
        <v>-9109</v>
      </c>
    </row>
    <row r="71" spans="2:9" hidden="1" outlineLevel="1" x14ac:dyDescent="0.45">
      <c r="B71" s="31" t="s">
        <v>45</v>
      </c>
      <c r="C71" s="28">
        <f>IFERROR(Cashflow!C8,0)</f>
        <v>-2656</v>
      </c>
      <c r="D71" s="28">
        <f>IFERROR(Cashflow!D8,0)</f>
        <v>-2853</v>
      </c>
      <c r="E71" s="28">
        <f>IFERROR(Cashflow!E8,0)</f>
        <v>-3692</v>
      </c>
      <c r="F71" s="28">
        <f>IFERROR(Cashflow!F8,0)</f>
        <v>-5743</v>
      </c>
      <c r="G71" s="28">
        <f>IFERROR(Cashflow!G8,0)</f>
        <v>-6621</v>
      </c>
      <c r="H71" s="28">
        <f>IFERROR(Cashflow!H8,0)</f>
        <v>-3560</v>
      </c>
      <c r="I71" s="28">
        <f>IFERROR(Cashflow!I8,0)</f>
        <v>2069</v>
      </c>
    </row>
    <row r="72" spans="2:9" hidden="1" outlineLevel="1" x14ac:dyDescent="0.45">
      <c r="B72" s="31" t="s">
        <v>127</v>
      </c>
      <c r="C72" s="28">
        <f>IFERROR(Cashflow!C9,0)</f>
        <v>8132</v>
      </c>
      <c r="D72" s="28">
        <f>IFERROR(Cashflow!D9,0)</f>
        <v>4694</v>
      </c>
      <c r="E72" s="28">
        <f>IFERROR(Cashflow!E9,0)</f>
        <v>3598</v>
      </c>
      <c r="F72" s="28">
        <f>IFERROR(Cashflow!F9,0)</f>
        <v>3947</v>
      </c>
      <c r="G72" s="28">
        <f>IFERROR(Cashflow!G9,0)</f>
        <v>9301</v>
      </c>
      <c r="H72" s="28">
        <f>IFERROR(Cashflow!H9,0)</f>
        <v>7320</v>
      </c>
      <c r="I72" s="28">
        <f>IFERROR(Cashflow!I9,0)</f>
        <v>-4692</v>
      </c>
    </row>
    <row r="73" spans="2:9" hidden="1" outlineLevel="1" x14ac:dyDescent="0.45">
      <c r="B73" s="31" t="s">
        <v>128</v>
      </c>
      <c r="C73" s="28">
        <f>IFERROR(Cashflow!C10,0)</f>
        <v>0</v>
      </c>
      <c r="D73" s="28">
        <f>IFERROR(Cashflow!D10,0)</f>
        <v>0</v>
      </c>
      <c r="E73" s="28">
        <f>IFERROR(Cashflow!E10,0)</f>
        <v>0</v>
      </c>
      <c r="F73" s="28">
        <f>IFERROR(Cashflow!F10,0)</f>
        <v>-520</v>
      </c>
      <c r="G73" s="28">
        <f>IFERROR(Cashflow!G10,0)</f>
        <v>0</v>
      </c>
      <c r="H73" s="28">
        <f>IFERROR(Cashflow!H10,0)</f>
        <v>0</v>
      </c>
      <c r="I73" s="28">
        <f>IFERROR(Cashflow!I10,0)</f>
        <v>0</v>
      </c>
    </row>
    <row r="74" spans="2:9" hidden="1" outlineLevel="1" x14ac:dyDescent="0.45">
      <c r="B74" s="31" t="s">
        <v>129</v>
      </c>
      <c r="C74" s="28">
        <f>IFERROR(Cashflow!C11,0)</f>
        <v>-303</v>
      </c>
      <c r="D74" s="28">
        <f>IFERROR(Cashflow!D11,0)</f>
        <v>1870</v>
      </c>
      <c r="E74" s="28">
        <f>IFERROR(Cashflow!E11,0)</f>
        <v>-398</v>
      </c>
      <c r="F74" s="28">
        <f>IFERROR(Cashflow!F11,0)</f>
        <v>5852</v>
      </c>
      <c r="G74" s="28">
        <f>IFERROR(Cashflow!G11,0)</f>
        <v>4727</v>
      </c>
      <c r="H74" s="28">
        <f>IFERROR(Cashflow!H11,0)</f>
        <v>494</v>
      </c>
      <c r="I74" s="28">
        <f>IFERROR(Cashflow!I11,0)</f>
        <v>4512</v>
      </c>
    </row>
    <row r="75" spans="2:9" hidden="1" outlineLevel="1" x14ac:dyDescent="0.45">
      <c r="B75" s="31" t="s">
        <v>130</v>
      </c>
      <c r="C75" s="28">
        <f>IFERROR(Cashflow!C12,0)</f>
        <v>-3</v>
      </c>
      <c r="D75" s="28">
        <f>IFERROR(Cashflow!D12,0)</f>
        <v>4157</v>
      </c>
      <c r="E75" s="28">
        <f>IFERROR(Cashflow!E12,0)</f>
        <v>-3672</v>
      </c>
      <c r="F75" s="28">
        <f>IFERROR(Cashflow!F12,0)</f>
        <v>1313</v>
      </c>
      <c r="G75" s="28">
        <f>IFERROR(Cashflow!G12,0)</f>
        <v>3254</v>
      </c>
      <c r="H75" s="28">
        <f>IFERROR(Cashflow!H12,0)</f>
        <v>-6434</v>
      </c>
      <c r="I75" s="28">
        <f>IFERROR(Cashflow!I12,0)</f>
        <v>-7221</v>
      </c>
    </row>
    <row r="76" spans="2:9" ht="14.65" hidden="1" outlineLevel="1" thickBot="1" x14ac:dyDescent="0.5">
      <c r="B76" s="31" t="s">
        <v>131</v>
      </c>
      <c r="C76" s="28">
        <f>IFERROR(Cashflow!C13,0)</f>
        <v>-2240</v>
      </c>
      <c r="D76" s="28">
        <f>IFERROR(Cashflow!D13,0)</f>
        <v>-4308</v>
      </c>
      <c r="E76" s="28">
        <f>IFERROR(Cashflow!E13,0)</f>
        <v>-4194</v>
      </c>
      <c r="F76" s="28">
        <f>IFERROR(Cashflow!F13,0)</f>
        <v>-2040</v>
      </c>
      <c r="G76" s="28">
        <f>IFERROR(Cashflow!G13,0)</f>
        <v>-1895</v>
      </c>
      <c r="H76" s="28">
        <f>IFERROR(Cashflow!H13,0)</f>
        <v>-3021</v>
      </c>
      <c r="I76" s="28">
        <f>IFERROR(Cashflow!I13,0)</f>
        <v>-2659</v>
      </c>
    </row>
    <row r="77" spans="2:9" ht="15" hidden="1" outlineLevel="1" thickTop="1" thickBot="1" x14ac:dyDescent="0.5">
      <c r="B77" s="36" t="s">
        <v>125</v>
      </c>
      <c r="C77" s="38">
        <f>SUM(C69:C76)</f>
        <v>22159</v>
      </c>
      <c r="D77" s="38">
        <f t="shared" ref="D77:I77" si="47">SUM(D69:D76)</f>
        <v>40308</v>
      </c>
      <c r="E77" s="38">
        <f t="shared" si="47"/>
        <v>31860</v>
      </c>
      <c r="F77" s="38">
        <f t="shared" si="47"/>
        <v>39212</v>
      </c>
      <c r="G77" s="38">
        <f t="shared" si="47"/>
        <v>33454</v>
      </c>
      <c r="H77" s="38">
        <f t="shared" si="47"/>
        <v>17423</v>
      </c>
      <c r="I77" s="38">
        <f t="shared" si="47"/>
        <v>11671</v>
      </c>
    </row>
    <row r="78" spans="2:9" ht="14.65" hidden="1" outlineLevel="1" thickTop="1" x14ac:dyDescent="0.45">
      <c r="C78" s="28"/>
      <c r="D78" s="28"/>
      <c r="E78" s="28"/>
      <c r="F78" s="28"/>
      <c r="G78" s="28"/>
      <c r="H78" s="28"/>
      <c r="I78" s="28"/>
    </row>
    <row r="79" spans="2:9" hidden="1" outlineLevel="1" x14ac:dyDescent="0.45">
      <c r="B79" s="37" t="s">
        <v>156</v>
      </c>
      <c r="C79" s="28"/>
      <c r="D79" s="28"/>
      <c r="E79" s="28"/>
      <c r="F79" s="28"/>
      <c r="G79" s="28"/>
      <c r="H79" s="28"/>
      <c r="I79" s="28"/>
    </row>
    <row r="80" spans="2:9" hidden="1" outlineLevel="1" x14ac:dyDescent="0.45">
      <c r="B80" s="31" t="s">
        <v>133</v>
      </c>
      <c r="C80" s="28">
        <f>IFERROR(Cashflow!C16,0)</f>
        <v>-18863</v>
      </c>
      <c r="D80" s="28">
        <f>IFERROR(Cashflow!D16,0)</f>
        <v>-26975</v>
      </c>
      <c r="E80" s="28">
        <f>IFERROR(Cashflow!E16,0)</f>
        <v>-31962</v>
      </c>
      <c r="F80" s="28">
        <f>IFERROR(Cashflow!F16,0)</f>
        <v>-31503</v>
      </c>
      <c r="G80" s="28">
        <f>IFERROR(Cashflow!G16,0)</f>
        <v>-16072</v>
      </c>
      <c r="H80" s="28">
        <f>IFERROR(Cashflow!H16,0)</f>
        <v>-35079</v>
      </c>
      <c r="I80" s="28">
        <f>IFERROR(Cashflow!I16,0)</f>
        <v>-35304</v>
      </c>
    </row>
    <row r="81" spans="2:9" hidden="1" outlineLevel="1" x14ac:dyDescent="0.45">
      <c r="B81" s="31" t="s">
        <v>134</v>
      </c>
      <c r="C81" s="28">
        <f>IFERROR(Cashflow!C17,0)</f>
        <v>37</v>
      </c>
      <c r="D81" s="28">
        <f>IFERROR(Cashflow!D17,0)</f>
        <v>50</v>
      </c>
      <c r="E81" s="28">
        <f>IFERROR(Cashflow!E17,0)</f>
        <v>74</v>
      </c>
      <c r="F81" s="28">
        <f>IFERROR(Cashflow!F17,0)</f>
        <v>59</v>
      </c>
      <c r="G81" s="28">
        <f>IFERROR(Cashflow!G17,0)</f>
        <v>53</v>
      </c>
      <c r="H81" s="28">
        <f>IFERROR(Cashflow!H17,0)</f>
        <v>30</v>
      </c>
      <c r="I81" s="28">
        <f>IFERROR(Cashflow!I17,0)</f>
        <v>67</v>
      </c>
    </row>
    <row r="82" spans="2:9" hidden="1" outlineLevel="1" x14ac:dyDescent="0.45">
      <c r="B82" s="31" t="s">
        <v>135</v>
      </c>
      <c r="C82" s="28">
        <f>IFERROR(Cashflow!C18,0)</f>
        <v>73</v>
      </c>
      <c r="D82" s="28">
        <f>IFERROR(Cashflow!D18,0)</f>
        <v>-429</v>
      </c>
      <c r="E82" s="28">
        <f>IFERROR(Cashflow!E18,0)</f>
        <v>-5461</v>
      </c>
      <c r="F82" s="28">
        <f>IFERROR(Cashflow!F18,0)</f>
        <v>-4728</v>
      </c>
      <c r="G82" s="28">
        <f>IFERROR(Cashflow!G18,0)</f>
        <v>-6</v>
      </c>
      <c r="H82" s="28">
        <f>IFERROR(Cashflow!H18,0)</f>
        <v>-329</v>
      </c>
      <c r="I82" s="28">
        <f>IFERROR(Cashflow!I18,0)</f>
        <v>-130</v>
      </c>
    </row>
    <row r="83" spans="2:9" hidden="1" outlineLevel="1" x14ac:dyDescent="0.45">
      <c r="B83" s="31" t="s">
        <v>136</v>
      </c>
      <c r="C83" s="28">
        <f>IFERROR(Cashflow!C19,0)</f>
        <v>34</v>
      </c>
      <c r="D83" s="28">
        <f>IFERROR(Cashflow!D19,0)</f>
        <v>4</v>
      </c>
      <c r="E83" s="28">
        <f>IFERROR(Cashflow!E19,0)</f>
        <v>42</v>
      </c>
      <c r="F83" s="28">
        <f>IFERROR(Cashflow!F19,0)</f>
        <v>89</v>
      </c>
      <c r="G83" s="28">
        <f>IFERROR(Cashflow!G19,0)</f>
        <v>1965</v>
      </c>
      <c r="H83" s="28">
        <f>IFERROR(Cashflow!H19,0)</f>
        <v>2381</v>
      </c>
      <c r="I83" s="28">
        <f>IFERROR(Cashflow!I19,0)</f>
        <v>5644</v>
      </c>
    </row>
    <row r="84" spans="2:9" hidden="1" outlineLevel="1" x14ac:dyDescent="0.45">
      <c r="B84" s="31" t="s">
        <v>137</v>
      </c>
      <c r="C84" s="28">
        <f>IFERROR(Cashflow!C20,0)</f>
        <v>713</v>
      </c>
      <c r="D84" s="28">
        <f>IFERROR(Cashflow!D20,0)</f>
        <v>653</v>
      </c>
      <c r="E84" s="28">
        <f>IFERROR(Cashflow!E20,0)</f>
        <v>698</v>
      </c>
      <c r="F84" s="28">
        <f>IFERROR(Cashflow!F20,0)</f>
        <v>731</v>
      </c>
      <c r="G84" s="28">
        <f>IFERROR(Cashflow!G20,0)</f>
        <v>638</v>
      </c>
      <c r="H84" s="28">
        <f>IFERROR(Cashflow!H20,0)</f>
        <v>690</v>
      </c>
      <c r="I84" s="28">
        <f>IFERROR(Cashflow!I20,0)</f>
        <v>761</v>
      </c>
    </row>
    <row r="85" spans="2:9" hidden="1" outlineLevel="1" x14ac:dyDescent="0.45">
      <c r="B85" s="31" t="s">
        <v>138</v>
      </c>
      <c r="C85" s="28">
        <f>IFERROR(Cashflow!C21,0)</f>
        <v>95</v>
      </c>
      <c r="D85" s="28">
        <f>IFERROR(Cashflow!D21,0)</f>
        <v>40</v>
      </c>
      <c r="E85" s="28">
        <f>IFERROR(Cashflow!E21,0)</f>
        <v>80</v>
      </c>
      <c r="F85" s="28">
        <f>IFERROR(Cashflow!F21,0)</f>
        <v>58</v>
      </c>
      <c r="G85" s="28">
        <f>IFERROR(Cashflow!G21,0)</f>
        <v>620</v>
      </c>
      <c r="H85" s="28">
        <f>IFERROR(Cashflow!H21,0)</f>
        <v>1797</v>
      </c>
      <c r="I85" s="28">
        <f>IFERROR(Cashflow!I21,0)</f>
        <v>232</v>
      </c>
    </row>
    <row r="86" spans="2:9" hidden="1" outlineLevel="1" x14ac:dyDescent="0.45">
      <c r="B86" s="31" t="s">
        <v>139</v>
      </c>
      <c r="C86" s="28">
        <f>IFERROR(Cashflow!C22,0)</f>
        <v>0</v>
      </c>
      <c r="D86" s="28">
        <f>IFERROR(Cashflow!D22,0)</f>
        <v>0</v>
      </c>
      <c r="E86" s="28">
        <f>IFERROR(Cashflow!E22,0)</f>
        <v>-160</v>
      </c>
      <c r="F86" s="28">
        <f>IFERROR(Cashflow!F22,0)</f>
        <v>0</v>
      </c>
      <c r="G86" s="28">
        <f>IFERROR(Cashflow!G22,0)</f>
        <v>-107</v>
      </c>
      <c r="H86" s="28">
        <f>IFERROR(Cashflow!H22,0)</f>
        <v>-4</v>
      </c>
      <c r="I86" s="28">
        <f>IFERROR(Cashflow!I22,0)</f>
        <v>-9</v>
      </c>
    </row>
    <row r="87" spans="2:9" hidden="1" outlineLevel="1" x14ac:dyDescent="0.45">
      <c r="B87" s="31" t="s">
        <v>140</v>
      </c>
      <c r="C87" s="28">
        <f>IFERROR(Cashflow!C23,0)</f>
        <v>0</v>
      </c>
      <c r="D87" s="28">
        <f>IFERROR(Cashflow!D23,0)</f>
        <v>0</v>
      </c>
      <c r="E87" s="28">
        <f>IFERROR(Cashflow!E23,0)</f>
        <v>0</v>
      </c>
      <c r="F87" s="28">
        <f>IFERROR(Cashflow!F23,0)</f>
        <v>0</v>
      </c>
      <c r="G87" s="28">
        <f>IFERROR(Cashflow!G23,0)</f>
        <v>0</v>
      </c>
      <c r="H87" s="28">
        <f>IFERROR(Cashflow!H23,0)</f>
        <v>14</v>
      </c>
      <c r="I87" s="28">
        <f>IFERROR(Cashflow!I23,0)</f>
        <v>533</v>
      </c>
    </row>
    <row r="88" spans="2:9" hidden="1" outlineLevel="1" x14ac:dyDescent="0.45">
      <c r="B88" s="31" t="s">
        <v>141</v>
      </c>
      <c r="C88" s="28">
        <f>IFERROR(Cashflow!C24,0)</f>
        <v>0</v>
      </c>
      <c r="D88" s="28">
        <f>IFERROR(Cashflow!D24,0)</f>
        <v>-185</v>
      </c>
      <c r="E88" s="28">
        <f>IFERROR(Cashflow!E24,0)</f>
        <v>0</v>
      </c>
      <c r="F88" s="28">
        <f>IFERROR(Cashflow!F24,0)</f>
        <v>-111</v>
      </c>
      <c r="G88" s="28">
        <f>IFERROR(Cashflow!G24,0)</f>
        <v>0</v>
      </c>
      <c r="H88" s="28">
        <f>IFERROR(Cashflow!H24,0)</f>
        <v>0</v>
      </c>
      <c r="I88" s="28">
        <f>IFERROR(Cashflow!I24,0)</f>
        <v>-8</v>
      </c>
    </row>
    <row r="89" spans="2:9" hidden="1" outlineLevel="1" x14ac:dyDescent="0.45">
      <c r="B89" s="31" t="s">
        <v>142</v>
      </c>
      <c r="C89" s="28">
        <f>IFERROR(Cashflow!C25,0)</f>
        <v>45</v>
      </c>
      <c r="D89" s="28">
        <f>IFERROR(Cashflow!D25,0)</f>
        <v>0</v>
      </c>
      <c r="E89" s="28">
        <f>IFERROR(Cashflow!E25,0)</f>
        <v>0</v>
      </c>
      <c r="F89" s="28">
        <f>IFERROR(Cashflow!F25,0)</f>
        <v>0</v>
      </c>
      <c r="G89" s="28">
        <f>IFERROR(Cashflow!G25,0)</f>
        <v>0</v>
      </c>
      <c r="H89" s="28">
        <f>IFERROR(Cashflow!H25,0)</f>
        <v>0</v>
      </c>
      <c r="I89" s="28">
        <f>IFERROR(Cashflow!I25,0)</f>
        <v>0</v>
      </c>
    </row>
    <row r="90" spans="2:9" ht="14.65" hidden="1" outlineLevel="1" thickBot="1" x14ac:dyDescent="0.5">
      <c r="B90" s="31" t="s">
        <v>143</v>
      </c>
      <c r="C90" s="28">
        <f>IFERROR(Cashflow!C26,0)</f>
        <v>-5103</v>
      </c>
      <c r="D90" s="28">
        <f>IFERROR(Cashflow!D26,0)</f>
        <v>-1149</v>
      </c>
      <c r="E90" s="28">
        <f>IFERROR(Cashflow!E26,0)</f>
        <v>456</v>
      </c>
      <c r="F90" s="28">
        <f>IFERROR(Cashflow!F26,0)</f>
        <v>-1289</v>
      </c>
      <c r="G90" s="28">
        <f>IFERROR(Cashflow!G26,0)</f>
        <v>-26663</v>
      </c>
      <c r="H90" s="28">
        <f>IFERROR(Cashflow!H26,0)</f>
        <v>5360</v>
      </c>
      <c r="I90" s="28">
        <f>IFERROR(Cashflow!I26,0)</f>
        <v>7335</v>
      </c>
    </row>
    <row r="91" spans="2:9" ht="15" hidden="1" outlineLevel="1" thickTop="1" thickBot="1" x14ac:dyDescent="0.5">
      <c r="B91" s="36" t="s">
        <v>132</v>
      </c>
      <c r="C91" s="38">
        <f>SUM(C80:C90)</f>
        <v>-22969</v>
      </c>
      <c r="D91" s="38">
        <f t="shared" ref="D91:I91" si="48">SUM(D80:D90)</f>
        <v>-27991</v>
      </c>
      <c r="E91" s="38">
        <f t="shared" si="48"/>
        <v>-36233</v>
      </c>
      <c r="F91" s="38">
        <f t="shared" si="48"/>
        <v>-36694</v>
      </c>
      <c r="G91" s="38">
        <f t="shared" si="48"/>
        <v>-39572</v>
      </c>
      <c r="H91" s="38">
        <f t="shared" si="48"/>
        <v>-25140</v>
      </c>
      <c r="I91" s="38">
        <f t="shared" si="48"/>
        <v>-20879</v>
      </c>
    </row>
    <row r="92" spans="2:9" ht="14.65" hidden="1" outlineLevel="1" thickTop="1" x14ac:dyDescent="0.45"/>
    <row r="93" spans="2:9" hidden="1" outlineLevel="1" x14ac:dyDescent="0.45">
      <c r="B93" s="37" t="s">
        <v>157</v>
      </c>
    </row>
    <row r="94" spans="2:9" hidden="1" outlineLevel="1" x14ac:dyDescent="0.45">
      <c r="B94" s="31" t="s">
        <v>145</v>
      </c>
      <c r="C94" s="28">
        <f>IFERROR(Cashflow!C29,0)</f>
        <v>1</v>
      </c>
      <c r="D94" s="28">
        <f>IFERROR(Cashflow!D29,0)</f>
        <v>0</v>
      </c>
      <c r="E94" s="28">
        <f>IFERROR(Cashflow!E29,0)</f>
        <v>0</v>
      </c>
      <c r="F94" s="28">
        <f>IFERROR(Cashflow!F29,0)</f>
        <v>7433</v>
      </c>
      <c r="G94" s="28">
        <f>IFERROR(Cashflow!G29,0)</f>
        <v>5</v>
      </c>
      <c r="H94" s="28">
        <f>IFERROR(Cashflow!H29,0)</f>
        <v>0</v>
      </c>
      <c r="I94" s="28">
        <f>IFERROR(Cashflow!I29,0)</f>
        <v>0</v>
      </c>
    </row>
    <row r="95" spans="2:9" hidden="1" outlineLevel="1" x14ac:dyDescent="0.45">
      <c r="B95" s="31" t="s">
        <v>146</v>
      </c>
      <c r="C95" s="28">
        <f>IFERROR(Cashflow!C30,0)</f>
        <v>-97</v>
      </c>
      <c r="D95" s="28">
        <f>IFERROR(Cashflow!D30,0)</f>
        <v>-658</v>
      </c>
      <c r="E95" s="28">
        <f>IFERROR(Cashflow!E30,0)</f>
        <v>-744</v>
      </c>
      <c r="F95" s="28">
        <f>IFERROR(Cashflow!F30,0)</f>
        <v>0</v>
      </c>
      <c r="G95" s="28">
        <f>IFERROR(Cashflow!G30,0)</f>
        <v>0</v>
      </c>
      <c r="H95" s="28">
        <f>IFERROR(Cashflow!H30,0)</f>
        <v>0</v>
      </c>
      <c r="I95" s="28">
        <f>IFERROR(Cashflow!I30,0)</f>
        <v>0</v>
      </c>
    </row>
    <row r="96" spans="2:9" hidden="1" outlineLevel="1" x14ac:dyDescent="0.45">
      <c r="B96" s="31" t="s">
        <v>147</v>
      </c>
      <c r="C96" s="28">
        <f>IFERROR(Cashflow!C31,0)</f>
        <v>27863</v>
      </c>
      <c r="D96" s="28">
        <f>IFERROR(Cashflow!D31,0)</f>
        <v>33258</v>
      </c>
      <c r="E96" s="28">
        <f>IFERROR(Cashflow!E31,0)</f>
        <v>36363</v>
      </c>
      <c r="F96" s="28">
        <f>IFERROR(Cashflow!F31,0)</f>
        <v>19519</v>
      </c>
      <c r="G96" s="28">
        <f>IFERROR(Cashflow!G31,0)</f>
        <v>33390</v>
      </c>
      <c r="H96" s="28">
        <f>IFERROR(Cashflow!H31,0)</f>
        <v>37482</v>
      </c>
      <c r="I96" s="28">
        <f>IFERROR(Cashflow!I31,0)</f>
        <v>51128</v>
      </c>
    </row>
    <row r="97" spans="2:9" hidden="1" outlineLevel="1" x14ac:dyDescent="0.45">
      <c r="B97" s="31" t="s">
        <v>148</v>
      </c>
      <c r="C97" s="28">
        <f>IFERROR(Cashflow!C32,0)</f>
        <v>-20395</v>
      </c>
      <c r="D97" s="28">
        <f>IFERROR(Cashflow!D32,0)</f>
        <v>-29141</v>
      </c>
      <c r="E97" s="28">
        <f>IFERROR(Cashflow!E32,0)</f>
        <v>-23332</v>
      </c>
      <c r="F97" s="28">
        <f>IFERROR(Cashflow!F32,0)</f>
        <v>-24924</v>
      </c>
      <c r="G97" s="28">
        <f>IFERROR(Cashflow!G32,0)</f>
        <v>-21732</v>
      </c>
      <c r="H97" s="28">
        <f>IFERROR(Cashflow!H32,0)</f>
        <v>-29964</v>
      </c>
      <c r="I97" s="28">
        <f>IFERROR(Cashflow!I32,0)</f>
        <v>-35198</v>
      </c>
    </row>
    <row r="98" spans="2:9" hidden="1" outlineLevel="1" x14ac:dyDescent="0.45">
      <c r="B98" s="31" t="s">
        <v>149</v>
      </c>
      <c r="C98" s="28">
        <f>IFERROR(Cashflow!C33,0)</f>
        <v>-4666</v>
      </c>
      <c r="D98" s="28">
        <f>IFERROR(Cashflow!D33,0)</f>
        <v>-6171</v>
      </c>
      <c r="E98" s="28">
        <f>IFERROR(Cashflow!E33,0)</f>
        <v>-6307</v>
      </c>
      <c r="F98" s="28">
        <f>IFERROR(Cashflow!F33,0)</f>
        <v>-5716</v>
      </c>
      <c r="G98" s="28">
        <f>IFERROR(Cashflow!G33,0)</f>
        <v>-5336</v>
      </c>
      <c r="H98" s="28">
        <f>IFERROR(Cashflow!H33,0)</f>
        <v>-5411</v>
      </c>
      <c r="I98" s="28">
        <f>IFERROR(Cashflow!I33,0)</f>
        <v>-7005</v>
      </c>
    </row>
    <row r="99" spans="2:9" hidden="1" outlineLevel="1" x14ac:dyDescent="0.45">
      <c r="B99" s="31" t="s">
        <v>150</v>
      </c>
      <c r="C99" s="28">
        <f>IFERROR(Cashflow!C34,0)</f>
        <v>-1551</v>
      </c>
      <c r="D99" s="28">
        <f>IFERROR(Cashflow!D34,0)</f>
        <v>-722</v>
      </c>
      <c r="E99" s="28">
        <f>IFERROR(Cashflow!E34,0)</f>
        <v>-720</v>
      </c>
      <c r="F99" s="28">
        <f>IFERROR(Cashflow!F34,0)</f>
        <v>-108</v>
      </c>
      <c r="G99" s="28">
        <f>IFERROR(Cashflow!G34,0)</f>
        <v>-121</v>
      </c>
      <c r="H99" s="28">
        <f>IFERROR(Cashflow!H34,0)</f>
        <v>-96</v>
      </c>
      <c r="I99" s="28">
        <f>IFERROR(Cashflow!I34,0)</f>
        <v>-95</v>
      </c>
    </row>
    <row r="100" spans="2:9" hidden="1" outlineLevel="1" x14ac:dyDescent="0.45">
      <c r="B100" s="31" t="s">
        <v>151</v>
      </c>
      <c r="C100" s="28">
        <f>IFERROR(Cashflow!C35,0)</f>
        <v>0</v>
      </c>
      <c r="D100" s="28">
        <f>IFERROR(Cashflow!D35,0)</f>
        <v>0</v>
      </c>
      <c r="E100" s="28">
        <f>IFERROR(Cashflow!E35,0)</f>
        <v>0</v>
      </c>
      <c r="F100" s="28">
        <f>IFERROR(Cashflow!F35,0)</f>
        <v>0</v>
      </c>
      <c r="G100" s="28">
        <f>IFERROR(Cashflow!G35,0)</f>
        <v>0</v>
      </c>
      <c r="H100" s="28">
        <f>IFERROR(Cashflow!H35,0)</f>
        <v>0</v>
      </c>
      <c r="I100" s="28">
        <f>IFERROR(Cashflow!I35,0)</f>
        <v>0</v>
      </c>
    </row>
    <row r="101" spans="2:9" ht="14.65" hidden="1" outlineLevel="1" thickBot="1" x14ac:dyDescent="0.5">
      <c r="B101" s="31" t="s">
        <v>152</v>
      </c>
      <c r="C101" s="28">
        <f>IFERROR(Cashflow!C36,0)</f>
        <v>-2849</v>
      </c>
      <c r="D101" s="28">
        <f>IFERROR(Cashflow!D36,0)</f>
        <v>-450</v>
      </c>
      <c r="E101" s="28">
        <f>IFERROR(Cashflow!E36,0)</f>
        <v>-57</v>
      </c>
      <c r="F101" s="28">
        <f>IFERROR(Cashflow!F36,0)</f>
        <v>0</v>
      </c>
      <c r="G101" s="28">
        <f>IFERROR(Cashflow!G36,0)</f>
        <v>0</v>
      </c>
      <c r="H101" s="28">
        <f>IFERROR(Cashflow!H36,0)</f>
        <v>0</v>
      </c>
      <c r="I101" s="28">
        <f>IFERROR(Cashflow!I36,0)</f>
        <v>0</v>
      </c>
    </row>
    <row r="102" spans="2:9" ht="15" hidden="1" outlineLevel="1" thickTop="1" thickBot="1" x14ac:dyDescent="0.5">
      <c r="B102" s="36" t="s">
        <v>144</v>
      </c>
      <c r="C102" s="38">
        <f>SUM(C94:C101)</f>
        <v>-1694</v>
      </c>
      <c r="D102" s="38">
        <f t="shared" ref="D102:I102" si="49">SUM(D94:D101)</f>
        <v>-3884</v>
      </c>
      <c r="E102" s="38">
        <f t="shared" si="49"/>
        <v>5203</v>
      </c>
      <c r="F102" s="38">
        <f t="shared" si="49"/>
        <v>-3796</v>
      </c>
      <c r="G102" s="38">
        <f t="shared" si="49"/>
        <v>6206</v>
      </c>
      <c r="H102" s="38">
        <f t="shared" si="49"/>
        <v>2011</v>
      </c>
      <c r="I102" s="38">
        <f t="shared" si="49"/>
        <v>8830</v>
      </c>
    </row>
    <row r="103" spans="2:9" ht="15" hidden="1" outlineLevel="1" thickTop="1" thickBot="1" x14ac:dyDescent="0.5">
      <c r="C103" s="28"/>
      <c r="D103" s="28"/>
      <c r="E103" s="28"/>
      <c r="F103" s="28"/>
      <c r="G103" s="28"/>
      <c r="H103" s="28"/>
      <c r="I103" s="28"/>
    </row>
    <row r="104" spans="2:9" ht="15" hidden="1" outlineLevel="1" thickTop="1" thickBot="1" x14ac:dyDescent="0.5">
      <c r="B104" s="36" t="s">
        <v>35</v>
      </c>
      <c r="C104" s="38">
        <f>SUM(C102,C91,C77)</f>
        <v>-2504</v>
      </c>
      <c r="D104" s="38">
        <f t="shared" ref="D104:I104" si="50">SUM(D102,D91,D77)</f>
        <v>8433</v>
      </c>
      <c r="E104" s="38">
        <f t="shared" si="50"/>
        <v>830</v>
      </c>
      <c r="F104" s="38">
        <f t="shared" si="50"/>
        <v>-1278</v>
      </c>
      <c r="G104" s="38">
        <f t="shared" si="50"/>
        <v>88</v>
      </c>
      <c r="H104" s="38">
        <f t="shared" si="50"/>
        <v>-5706</v>
      </c>
      <c r="I104" s="38">
        <f t="shared" si="50"/>
        <v>-378</v>
      </c>
    </row>
    <row r="105" spans="2:9" collapsed="1" x14ac:dyDescent="0.45"/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FC64-0553-4F59-92D5-3C3E0243C8A3}">
  <dimension ref="B2:O38"/>
  <sheetViews>
    <sheetView topLeftCell="B10" zoomScaleNormal="100" workbookViewId="0">
      <selection activeCell="B29" sqref="B29:B36"/>
    </sheetView>
  </sheetViews>
  <sheetFormatPr defaultRowHeight="14.25" x14ac:dyDescent="0.45"/>
  <cols>
    <col min="2" max="2" width="24.6640625" bestFit="1" customWidth="1"/>
    <col min="3" max="14" width="12.86328125" bestFit="1" customWidth="1"/>
  </cols>
  <sheetData>
    <row r="2" spans="2:15" x14ac:dyDescent="0.45">
      <c r="B2" s="26" t="s">
        <v>153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5" x14ac:dyDescent="0.45">
      <c r="B3" s="26"/>
      <c r="C3" s="27">
        <v>41334</v>
      </c>
      <c r="D3" s="27">
        <v>41699</v>
      </c>
      <c r="E3" s="27">
        <v>42064</v>
      </c>
      <c r="F3" s="27">
        <v>42430</v>
      </c>
      <c r="G3" s="27">
        <v>42795</v>
      </c>
      <c r="H3" s="27">
        <v>43160</v>
      </c>
      <c r="I3" s="27">
        <v>43525</v>
      </c>
      <c r="J3" s="27">
        <v>43891</v>
      </c>
      <c r="K3" s="27">
        <v>44256</v>
      </c>
      <c r="L3" s="27">
        <v>44621</v>
      </c>
      <c r="M3" s="27">
        <v>44986</v>
      </c>
      <c r="N3" s="27">
        <v>45352</v>
      </c>
    </row>
    <row r="4" spans="2:15" x14ac:dyDescent="0.4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2:15" x14ac:dyDescent="0.45">
      <c r="O5" s="2"/>
    </row>
    <row r="6" spans="2:15" x14ac:dyDescent="0.45">
      <c r="B6" t="s">
        <v>126</v>
      </c>
      <c r="C6" s="29">
        <v>24406</v>
      </c>
      <c r="D6" s="29">
        <v>36303</v>
      </c>
      <c r="E6" s="29">
        <v>43397</v>
      </c>
      <c r="F6" s="29">
        <v>38626</v>
      </c>
      <c r="G6" s="29">
        <v>28840</v>
      </c>
      <c r="H6" s="29">
        <v>33312</v>
      </c>
      <c r="I6" s="29">
        <v>28771</v>
      </c>
      <c r="J6" s="29">
        <v>23352</v>
      </c>
      <c r="K6" s="29">
        <v>31198</v>
      </c>
      <c r="L6" s="29">
        <v>26943</v>
      </c>
      <c r="M6" s="29">
        <v>41694</v>
      </c>
      <c r="N6" s="29">
        <v>65106</v>
      </c>
    </row>
    <row r="7" spans="2:15" x14ac:dyDescent="0.45">
      <c r="B7" t="s">
        <v>78</v>
      </c>
      <c r="C7" s="29">
        <v>-5177</v>
      </c>
      <c r="D7">
        <v>445</v>
      </c>
      <c r="E7" s="29">
        <v>-3179</v>
      </c>
      <c r="F7" s="29">
        <v>-2223</v>
      </c>
      <c r="G7" s="29">
        <v>-4152</v>
      </c>
      <c r="H7" s="29">
        <v>-10688</v>
      </c>
      <c r="I7" s="29">
        <v>-9109</v>
      </c>
      <c r="J7" s="29">
        <v>9950</v>
      </c>
      <c r="K7" s="29">
        <v>-5505</v>
      </c>
      <c r="L7">
        <v>185</v>
      </c>
      <c r="M7" s="29">
        <v>-2213</v>
      </c>
      <c r="N7" s="29">
        <v>-1875</v>
      </c>
    </row>
    <row r="8" spans="2:15" x14ac:dyDescent="0.45">
      <c r="B8" t="s">
        <v>45</v>
      </c>
      <c r="C8" s="29">
        <v>-2656</v>
      </c>
      <c r="D8" s="29">
        <v>-2853</v>
      </c>
      <c r="E8" s="29">
        <v>-3692</v>
      </c>
      <c r="F8" s="29">
        <v>-5743</v>
      </c>
      <c r="G8" s="29">
        <v>-6621</v>
      </c>
      <c r="H8" s="29">
        <v>-3560</v>
      </c>
      <c r="I8" s="29">
        <v>2069</v>
      </c>
      <c r="J8" s="29">
        <v>2326</v>
      </c>
      <c r="K8" s="29">
        <v>3814</v>
      </c>
      <c r="L8">
        <v>472</v>
      </c>
      <c r="M8" s="29">
        <v>-5665</v>
      </c>
      <c r="N8" s="29">
        <v>-7265</v>
      </c>
    </row>
    <row r="9" spans="2:15" x14ac:dyDescent="0.45">
      <c r="B9" t="s">
        <v>127</v>
      </c>
      <c r="C9" s="29">
        <v>8132</v>
      </c>
      <c r="D9" s="29">
        <v>4694</v>
      </c>
      <c r="E9" s="29">
        <v>3598</v>
      </c>
      <c r="F9" s="29">
        <v>3947</v>
      </c>
      <c r="G9" s="29">
        <v>9301</v>
      </c>
      <c r="H9" s="29">
        <v>7320</v>
      </c>
      <c r="I9" s="29">
        <v>-4692</v>
      </c>
      <c r="J9" s="29">
        <v>-8085</v>
      </c>
      <c r="K9" s="29">
        <v>5748</v>
      </c>
      <c r="L9" s="29">
        <v>-7012</v>
      </c>
      <c r="M9" s="29">
        <v>6945</v>
      </c>
      <c r="N9" s="29">
        <v>13706</v>
      </c>
    </row>
    <row r="10" spans="2:15" x14ac:dyDescent="0.45">
      <c r="B10" t="s">
        <v>128</v>
      </c>
      <c r="C10">
        <v>0</v>
      </c>
      <c r="D10">
        <v>0</v>
      </c>
      <c r="E10">
        <v>0</v>
      </c>
      <c r="F10">
        <v>-520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5" x14ac:dyDescent="0.45">
      <c r="B11" t="s">
        <v>129</v>
      </c>
      <c r="C11">
        <v>-303</v>
      </c>
      <c r="D11" s="29">
        <v>1870</v>
      </c>
      <c r="E11">
        <v>-398</v>
      </c>
      <c r="F11" s="29">
        <v>5852</v>
      </c>
      <c r="G11" s="29">
        <v>4727</v>
      </c>
      <c r="H11">
        <v>494</v>
      </c>
      <c r="I11" s="29">
        <v>4512</v>
      </c>
      <c r="J11">
        <v>875</v>
      </c>
      <c r="K11" s="29">
        <v>-4150</v>
      </c>
      <c r="L11" s="29">
        <v>-4396</v>
      </c>
      <c r="M11" s="29">
        <v>-2194</v>
      </c>
      <c r="N11" s="29">
        <v>2760</v>
      </c>
    </row>
    <row r="12" spans="2:15" x14ac:dyDescent="0.45">
      <c r="B12" t="s">
        <v>130</v>
      </c>
      <c r="C12">
        <v>-3</v>
      </c>
      <c r="D12" s="29">
        <v>4157</v>
      </c>
      <c r="E12" s="29">
        <v>-3672</v>
      </c>
      <c r="F12" s="29">
        <v>1313</v>
      </c>
      <c r="G12" s="29">
        <v>3254</v>
      </c>
      <c r="H12" s="29">
        <v>-6434</v>
      </c>
      <c r="I12" s="29">
        <v>-7221</v>
      </c>
      <c r="J12" s="29">
        <v>5065</v>
      </c>
      <c r="K12">
        <v>-93</v>
      </c>
      <c r="L12" s="29">
        <v>-10750</v>
      </c>
      <c r="M12" s="29">
        <v>-3127</v>
      </c>
      <c r="N12" s="29">
        <v>7325</v>
      </c>
    </row>
    <row r="13" spans="2:15" x14ac:dyDescent="0.45">
      <c r="B13" t="s">
        <v>131</v>
      </c>
      <c r="C13" s="29">
        <v>-2240</v>
      </c>
      <c r="D13" s="29">
        <v>-4308</v>
      </c>
      <c r="E13" s="29">
        <v>-4194</v>
      </c>
      <c r="F13" s="29">
        <v>-2040</v>
      </c>
      <c r="G13" s="29">
        <v>-1895</v>
      </c>
      <c r="H13" s="29">
        <v>-3021</v>
      </c>
      <c r="I13" s="29">
        <v>-2659</v>
      </c>
      <c r="J13" s="29">
        <v>-1785</v>
      </c>
      <c r="K13" s="29">
        <v>-2105</v>
      </c>
      <c r="L13" s="29">
        <v>-1910</v>
      </c>
      <c r="M13" s="29">
        <v>-3179</v>
      </c>
      <c r="N13" s="29">
        <v>-4516</v>
      </c>
    </row>
    <row r="14" spans="2:15" x14ac:dyDescent="0.45">
      <c r="B14" s="2" t="s">
        <v>125</v>
      </c>
      <c r="C14" s="30">
        <v>22163</v>
      </c>
      <c r="D14" s="30">
        <v>36151</v>
      </c>
      <c r="E14" s="30">
        <v>35531</v>
      </c>
      <c r="F14" s="30">
        <v>37900</v>
      </c>
      <c r="G14" s="30">
        <v>30199</v>
      </c>
      <c r="H14" s="30">
        <v>23857</v>
      </c>
      <c r="I14" s="30">
        <v>18891</v>
      </c>
      <c r="J14" s="30">
        <v>26633</v>
      </c>
      <c r="K14" s="30">
        <v>29001</v>
      </c>
      <c r="L14" s="30">
        <v>14283</v>
      </c>
      <c r="M14" s="30">
        <v>35388</v>
      </c>
      <c r="N14" s="30">
        <v>67915</v>
      </c>
    </row>
    <row r="16" spans="2:15" x14ac:dyDescent="0.45">
      <c r="B16" t="s">
        <v>133</v>
      </c>
      <c r="C16" s="29">
        <v>-18863</v>
      </c>
      <c r="D16" s="29">
        <v>-26975</v>
      </c>
      <c r="E16" s="29">
        <v>-31962</v>
      </c>
      <c r="F16" s="29">
        <v>-31503</v>
      </c>
      <c r="G16" s="29">
        <v>-16072</v>
      </c>
      <c r="H16" s="29">
        <v>-35079</v>
      </c>
      <c r="I16" s="29">
        <v>-35304</v>
      </c>
      <c r="J16" s="29">
        <v>-29702</v>
      </c>
      <c r="K16" s="29">
        <v>-20205</v>
      </c>
      <c r="L16" s="29">
        <v>-15168</v>
      </c>
      <c r="M16" s="29">
        <v>-19230</v>
      </c>
      <c r="N16" s="29">
        <v>-31414</v>
      </c>
    </row>
    <row r="17" spans="2:14" x14ac:dyDescent="0.45">
      <c r="B17" t="s">
        <v>134</v>
      </c>
      <c r="C17">
        <v>37</v>
      </c>
      <c r="D17">
        <v>50</v>
      </c>
      <c r="E17">
        <v>74</v>
      </c>
      <c r="F17">
        <v>59</v>
      </c>
      <c r="G17">
        <v>53</v>
      </c>
      <c r="H17">
        <v>30</v>
      </c>
      <c r="I17">
        <v>67</v>
      </c>
      <c r="J17">
        <v>171</v>
      </c>
      <c r="K17">
        <v>351</v>
      </c>
      <c r="L17">
        <v>230</v>
      </c>
      <c r="M17">
        <v>285</v>
      </c>
      <c r="N17">
        <v>231</v>
      </c>
    </row>
    <row r="18" spans="2:14" x14ac:dyDescent="0.45">
      <c r="B18" t="s">
        <v>135</v>
      </c>
      <c r="C18">
        <v>73</v>
      </c>
      <c r="D18">
        <v>-429</v>
      </c>
      <c r="E18" s="29">
        <v>-5461</v>
      </c>
      <c r="F18" s="29">
        <v>-4728</v>
      </c>
      <c r="G18">
        <v>-6</v>
      </c>
      <c r="H18">
        <v>-329</v>
      </c>
      <c r="I18">
        <v>-130</v>
      </c>
      <c r="J18" s="29">
        <v>-1439</v>
      </c>
      <c r="K18" s="29">
        <v>-7530</v>
      </c>
      <c r="L18" s="29">
        <v>-3008</v>
      </c>
      <c r="M18">
        <v>-50</v>
      </c>
      <c r="N18">
        <v>-74</v>
      </c>
    </row>
    <row r="19" spans="2:14" x14ac:dyDescent="0.45">
      <c r="B19" t="s">
        <v>136</v>
      </c>
      <c r="C19">
        <v>34</v>
      </c>
      <c r="D19">
        <v>4</v>
      </c>
      <c r="E19">
        <v>42</v>
      </c>
      <c r="F19">
        <v>89</v>
      </c>
      <c r="G19" s="29">
        <v>1965</v>
      </c>
      <c r="H19" s="29">
        <v>2381</v>
      </c>
      <c r="I19" s="29">
        <v>5644</v>
      </c>
      <c r="J19">
        <v>21</v>
      </c>
      <c r="K19">
        <v>226</v>
      </c>
      <c r="L19">
        <v>104</v>
      </c>
      <c r="M19" s="29">
        <v>6895</v>
      </c>
      <c r="N19" s="29">
        <v>10820</v>
      </c>
    </row>
    <row r="20" spans="2:14" x14ac:dyDescent="0.45">
      <c r="B20" t="s">
        <v>137</v>
      </c>
      <c r="C20">
        <v>713</v>
      </c>
      <c r="D20">
        <v>653</v>
      </c>
      <c r="E20">
        <v>698</v>
      </c>
      <c r="F20">
        <v>731</v>
      </c>
      <c r="G20">
        <v>638</v>
      </c>
      <c r="H20">
        <v>690</v>
      </c>
      <c r="I20">
        <v>761</v>
      </c>
      <c r="J20" s="29">
        <v>1104</v>
      </c>
      <c r="K20">
        <v>428</v>
      </c>
      <c r="L20">
        <v>653</v>
      </c>
      <c r="M20">
        <v>973</v>
      </c>
      <c r="N20" s="29">
        <v>2493</v>
      </c>
    </row>
    <row r="21" spans="2:14" x14ac:dyDescent="0.45">
      <c r="B21" t="s">
        <v>138</v>
      </c>
      <c r="C21">
        <v>95</v>
      </c>
      <c r="D21">
        <v>40</v>
      </c>
      <c r="E21">
        <v>80</v>
      </c>
      <c r="F21">
        <v>58</v>
      </c>
      <c r="G21">
        <v>620</v>
      </c>
      <c r="H21" s="29">
        <v>1797</v>
      </c>
      <c r="I21">
        <v>232</v>
      </c>
      <c r="J21">
        <v>21</v>
      </c>
      <c r="K21">
        <v>18</v>
      </c>
      <c r="L21">
        <v>32</v>
      </c>
      <c r="M21">
        <v>46</v>
      </c>
      <c r="N21">
        <v>47</v>
      </c>
    </row>
    <row r="22" spans="2:14" x14ac:dyDescent="0.45">
      <c r="B22" t="s">
        <v>139</v>
      </c>
      <c r="C22">
        <v>0</v>
      </c>
      <c r="D22">
        <v>0</v>
      </c>
      <c r="E22">
        <v>-160</v>
      </c>
      <c r="F22">
        <v>0</v>
      </c>
      <c r="G22">
        <v>-107</v>
      </c>
      <c r="H22">
        <v>-4</v>
      </c>
      <c r="I22">
        <v>-9</v>
      </c>
      <c r="J22">
        <v>-606</v>
      </c>
      <c r="K22">
        <v>-10</v>
      </c>
      <c r="L22">
        <v>0</v>
      </c>
      <c r="M22">
        <v>0</v>
      </c>
      <c r="N22">
        <v>-150</v>
      </c>
    </row>
    <row r="23" spans="2:14" x14ac:dyDescent="0.45">
      <c r="B23" t="s">
        <v>140</v>
      </c>
      <c r="C23">
        <v>0</v>
      </c>
      <c r="D23">
        <v>0</v>
      </c>
      <c r="E23">
        <v>0</v>
      </c>
      <c r="F23">
        <v>0</v>
      </c>
      <c r="G23">
        <v>0</v>
      </c>
      <c r="H23">
        <v>14</v>
      </c>
      <c r="I23">
        <v>533</v>
      </c>
      <c r="J23">
        <v>0</v>
      </c>
      <c r="K23">
        <v>0</v>
      </c>
      <c r="L23">
        <v>0</v>
      </c>
      <c r="M23">
        <v>19</v>
      </c>
      <c r="N23">
        <v>108</v>
      </c>
    </row>
    <row r="24" spans="2:14" x14ac:dyDescent="0.45">
      <c r="B24" t="s">
        <v>141</v>
      </c>
      <c r="C24">
        <v>0</v>
      </c>
      <c r="D24">
        <v>-185</v>
      </c>
      <c r="E24">
        <v>0</v>
      </c>
      <c r="F24">
        <v>-111</v>
      </c>
      <c r="G24">
        <v>0</v>
      </c>
      <c r="H24">
        <v>0</v>
      </c>
      <c r="I24">
        <v>-8</v>
      </c>
      <c r="J24">
        <v>-27</v>
      </c>
      <c r="K24">
        <v>0</v>
      </c>
      <c r="L24">
        <v>-98</v>
      </c>
      <c r="M24">
        <v>0</v>
      </c>
      <c r="N24">
        <v>0</v>
      </c>
    </row>
    <row r="25" spans="2:14" x14ac:dyDescent="0.45">
      <c r="B25" t="s">
        <v>142</v>
      </c>
      <c r="C25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-24</v>
      </c>
    </row>
    <row r="26" spans="2:14" x14ac:dyDescent="0.45">
      <c r="B26" t="s">
        <v>143</v>
      </c>
      <c r="C26" s="29">
        <v>-5103</v>
      </c>
      <c r="D26" s="29">
        <v>-1149</v>
      </c>
      <c r="E26">
        <v>456</v>
      </c>
      <c r="F26" s="29">
        <v>-1289</v>
      </c>
      <c r="G26" s="29">
        <v>-26663</v>
      </c>
      <c r="H26" s="29">
        <v>5360</v>
      </c>
      <c r="I26" s="29">
        <v>7335</v>
      </c>
      <c r="J26" s="29">
        <v>-2659</v>
      </c>
      <c r="K26" s="29">
        <v>1051</v>
      </c>
      <c r="L26" s="29">
        <v>12813</v>
      </c>
      <c r="M26" s="29">
        <v>-4357</v>
      </c>
      <c r="N26" s="29">
        <v>-4817</v>
      </c>
    </row>
    <row r="27" spans="2:14" x14ac:dyDescent="0.45">
      <c r="B27" s="2" t="s">
        <v>132</v>
      </c>
      <c r="C27" s="30">
        <v>-22969</v>
      </c>
      <c r="D27" s="30">
        <v>-27991</v>
      </c>
      <c r="E27" s="30">
        <v>-36232</v>
      </c>
      <c r="F27" s="30">
        <v>-36694</v>
      </c>
      <c r="G27" s="30">
        <v>-39571</v>
      </c>
      <c r="H27" s="30">
        <v>-25139</v>
      </c>
      <c r="I27" s="30">
        <v>-20878</v>
      </c>
      <c r="J27" s="30">
        <v>-33115</v>
      </c>
      <c r="K27" s="30">
        <v>-25672</v>
      </c>
      <c r="L27" s="30">
        <v>-4444</v>
      </c>
      <c r="M27" s="30">
        <v>-15417</v>
      </c>
      <c r="N27" s="30">
        <v>-22782</v>
      </c>
    </row>
    <row r="29" spans="2:14" x14ac:dyDescent="0.45">
      <c r="B29" t="s">
        <v>145</v>
      </c>
      <c r="C29">
        <v>1</v>
      </c>
      <c r="D29">
        <v>0</v>
      </c>
      <c r="E29">
        <v>0</v>
      </c>
      <c r="F29" s="29">
        <v>7433</v>
      </c>
      <c r="G29">
        <v>5</v>
      </c>
      <c r="H29">
        <v>0</v>
      </c>
      <c r="I29">
        <v>0</v>
      </c>
      <c r="J29" s="29">
        <v>3889</v>
      </c>
      <c r="K29" s="29">
        <v>2603</v>
      </c>
      <c r="L29">
        <v>19</v>
      </c>
      <c r="M29">
        <v>20</v>
      </c>
      <c r="N29">
        <v>82</v>
      </c>
    </row>
    <row r="30" spans="2:14" x14ac:dyDescent="0.45">
      <c r="B30" t="s">
        <v>146</v>
      </c>
      <c r="C30">
        <v>-97</v>
      </c>
      <c r="D30">
        <v>-658</v>
      </c>
      <c r="E30">
        <v>-744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45">
      <c r="B31" t="s">
        <v>147</v>
      </c>
      <c r="C31" s="29">
        <v>27863</v>
      </c>
      <c r="D31" s="29">
        <v>33258</v>
      </c>
      <c r="E31" s="29">
        <v>36363</v>
      </c>
      <c r="F31" s="29">
        <v>19519</v>
      </c>
      <c r="G31" s="29">
        <v>33390</v>
      </c>
      <c r="H31" s="29">
        <v>37482</v>
      </c>
      <c r="I31" s="29">
        <v>51128</v>
      </c>
      <c r="J31" s="29">
        <v>38297</v>
      </c>
      <c r="K31" s="29">
        <v>46641</v>
      </c>
      <c r="L31" s="29">
        <v>46578</v>
      </c>
      <c r="M31" s="29">
        <v>43934</v>
      </c>
      <c r="N31" s="29">
        <v>18747</v>
      </c>
    </row>
    <row r="32" spans="2:14" x14ac:dyDescent="0.45">
      <c r="B32" t="s">
        <v>148</v>
      </c>
      <c r="C32" s="29">
        <v>-20395</v>
      </c>
      <c r="D32" s="29">
        <v>-29141</v>
      </c>
      <c r="E32" s="29">
        <v>-23332</v>
      </c>
      <c r="F32" s="29">
        <v>-24924</v>
      </c>
      <c r="G32" s="29">
        <v>-21732</v>
      </c>
      <c r="H32" s="29">
        <v>-29964</v>
      </c>
      <c r="I32" s="29">
        <v>-35198</v>
      </c>
      <c r="J32" s="29">
        <v>-29847</v>
      </c>
      <c r="K32" s="29">
        <v>-29709</v>
      </c>
      <c r="L32" s="29">
        <v>-42816</v>
      </c>
      <c r="M32" s="29">
        <v>-62557</v>
      </c>
      <c r="N32" s="29">
        <v>-47332</v>
      </c>
    </row>
    <row r="33" spans="2:14" x14ac:dyDescent="0.45">
      <c r="B33" t="s">
        <v>149</v>
      </c>
      <c r="C33" s="29">
        <v>-4666</v>
      </c>
      <c r="D33" s="29">
        <v>-6171</v>
      </c>
      <c r="E33" s="29">
        <v>-6307</v>
      </c>
      <c r="F33" s="29">
        <v>-5716</v>
      </c>
      <c r="G33" s="29">
        <v>-5336</v>
      </c>
      <c r="H33" s="29">
        <v>-5411</v>
      </c>
      <c r="I33" s="29">
        <v>-7005</v>
      </c>
      <c r="J33" s="29">
        <v>-7518</v>
      </c>
      <c r="K33" s="29">
        <v>-8123</v>
      </c>
      <c r="L33" s="29">
        <v>-9251</v>
      </c>
      <c r="M33" s="29">
        <v>-9336</v>
      </c>
      <c r="N33" s="29">
        <v>-9332</v>
      </c>
    </row>
    <row r="34" spans="2:14" x14ac:dyDescent="0.45">
      <c r="B34" t="s">
        <v>150</v>
      </c>
      <c r="C34" s="29">
        <v>-1551</v>
      </c>
      <c r="D34">
        <v>-722</v>
      </c>
      <c r="E34">
        <v>-720</v>
      </c>
      <c r="F34">
        <v>-108</v>
      </c>
      <c r="G34">
        <v>-121</v>
      </c>
      <c r="H34">
        <v>-96</v>
      </c>
      <c r="I34">
        <v>-95</v>
      </c>
      <c r="J34">
        <v>-57</v>
      </c>
      <c r="K34">
        <v>-30</v>
      </c>
      <c r="L34">
        <v>-100</v>
      </c>
      <c r="M34">
        <v>-141</v>
      </c>
      <c r="N34" s="29">
        <v>-1059</v>
      </c>
    </row>
    <row r="35" spans="2:14" x14ac:dyDescent="0.45">
      <c r="B35" t="s">
        <v>151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29">
        <v>-1346</v>
      </c>
      <c r="K35" s="29">
        <v>-1477</v>
      </c>
      <c r="L35" s="29">
        <v>-1559</v>
      </c>
      <c r="M35" s="29">
        <v>-1517</v>
      </c>
      <c r="N35" s="29">
        <v>-1924</v>
      </c>
    </row>
    <row r="36" spans="2:14" x14ac:dyDescent="0.45">
      <c r="B36" t="s">
        <v>152</v>
      </c>
      <c r="C36" s="29">
        <v>-2849</v>
      </c>
      <c r="D36">
        <v>-450</v>
      </c>
      <c r="E36">
        <v>-57</v>
      </c>
      <c r="F36">
        <v>0</v>
      </c>
      <c r="G36">
        <v>0</v>
      </c>
      <c r="H36">
        <v>0</v>
      </c>
      <c r="I36">
        <v>0</v>
      </c>
      <c r="J36">
        <v>-29</v>
      </c>
      <c r="K36">
        <v>0</v>
      </c>
      <c r="L36" s="29">
        <v>3750</v>
      </c>
      <c r="M36" s="29">
        <v>3355</v>
      </c>
      <c r="N36" s="29">
        <v>3812</v>
      </c>
    </row>
    <row r="37" spans="2:14" x14ac:dyDescent="0.45">
      <c r="B37" s="2" t="s">
        <v>144</v>
      </c>
      <c r="C37" s="30">
        <v>-1692</v>
      </c>
      <c r="D37" s="30">
        <v>-3883</v>
      </c>
      <c r="E37" s="30">
        <v>5201</v>
      </c>
      <c r="F37" s="30">
        <v>-3795</v>
      </c>
      <c r="G37" s="30">
        <v>6205</v>
      </c>
      <c r="H37" s="30">
        <v>2012</v>
      </c>
      <c r="I37" s="30">
        <v>8830</v>
      </c>
      <c r="J37" s="30">
        <v>3390</v>
      </c>
      <c r="K37" s="30">
        <v>9904</v>
      </c>
      <c r="L37" s="30">
        <v>-3380</v>
      </c>
      <c r="M37" s="30">
        <v>-26243</v>
      </c>
      <c r="N37" s="30">
        <v>-37006</v>
      </c>
    </row>
    <row r="38" spans="2:14" x14ac:dyDescent="0.45">
      <c r="B38" t="s">
        <v>35</v>
      </c>
      <c r="C38" s="29">
        <v>-2499</v>
      </c>
      <c r="D38" s="29">
        <v>4277</v>
      </c>
      <c r="E38" s="29">
        <v>4500</v>
      </c>
      <c r="F38" s="29">
        <v>-2589</v>
      </c>
      <c r="G38" s="29">
        <v>-3167</v>
      </c>
      <c r="H38">
        <v>730</v>
      </c>
      <c r="I38" s="29">
        <v>6843</v>
      </c>
      <c r="J38" s="29">
        <v>-3092</v>
      </c>
      <c r="K38" s="29">
        <v>13232</v>
      </c>
      <c r="L38" s="29">
        <v>6459</v>
      </c>
      <c r="M38" s="29">
        <v>-6272</v>
      </c>
      <c r="N38" s="29">
        <v>8128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Profit &amp; Loss</vt:lpstr>
      <vt:lpstr>Quarters</vt:lpstr>
      <vt:lpstr>Balance Sheet</vt:lpstr>
      <vt:lpstr>Cash Flow</vt:lpstr>
      <vt:lpstr>Customization</vt:lpstr>
      <vt:lpstr>Data Sheet</vt:lpstr>
      <vt:lpstr>Financials</vt:lpstr>
      <vt:lpstr>HistoricalFS</vt:lpstr>
      <vt:lpstr>Cashflow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Gaurav Agarwal</cp:lastModifiedBy>
  <cp:lastPrinted>2024-09-12T19:14:59Z</cp:lastPrinted>
  <dcterms:created xsi:type="dcterms:W3CDTF">2012-08-17T09:55:37Z</dcterms:created>
  <dcterms:modified xsi:type="dcterms:W3CDTF">2024-09-23T14:00:40Z</dcterms:modified>
</cp:coreProperties>
</file>