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62d5ce3eedc922/Documents/Financial Modelling/"/>
    </mc:Choice>
  </mc:AlternateContent>
  <xr:revisionPtr revIDLastSave="57" documentId="8_{27C0D057-3BB0-4FBA-B4E9-DAB7D58699F2}" xr6:coauthVersionLast="47" xr6:coauthVersionMax="47" xr10:uidLastSave="{1822F5AF-DAC6-42BA-AFFB-EFDAECE9EA37}"/>
  <bookViews>
    <workbookView xWindow="-108" yWindow="-108" windowWidth="20376" windowHeight="12816" activeTab="3" xr2:uid="{2EB3A396-FCBF-44D9-9F22-2855925DEC0E}"/>
  </bookViews>
  <sheets>
    <sheet name="Actual" sheetId="1" r:id="rId1"/>
    <sheet name="Sheet1" sheetId="12" r:id="rId2"/>
    <sheet name="Practise" sheetId="2" state="hidden" r:id="rId3"/>
    <sheet name="Vedant Fashion" sheetId="3" r:id="rId4"/>
    <sheet name="Aditya birla" sheetId="10" r:id="rId5"/>
    <sheet name="Metro Brands" sheetId="11" r:id="rId6"/>
    <sheet name="Return On Market" sheetId="13" r:id="rId7"/>
  </sheets>
  <definedNames>
    <definedName name="Beta_Weight">#REF!</definedName>
    <definedName name="Market_Beta">#REF!</definedName>
    <definedName name="Raw_Unlevered_Beta">#REF!</definedName>
    <definedName name="Weigh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3" l="1"/>
  <c r="M13" i="3"/>
  <c r="M19" i="3" s="1"/>
  <c r="J14" i="1" s="1"/>
  <c r="J19" i="1" s="1"/>
  <c r="K35" i="1"/>
  <c r="H10" i="13"/>
  <c r="H7" i="13"/>
  <c r="J25" i="1"/>
  <c r="P25" i="1"/>
  <c r="Q25" i="1"/>
  <c r="C26" i="1"/>
  <c r="C25" i="1"/>
  <c r="E25" i="1"/>
  <c r="M27" i="1"/>
  <c r="G19" i="1"/>
  <c r="J16" i="1"/>
  <c r="J15" i="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9" i="11"/>
  <c r="L9" i="11"/>
  <c r="L8" i="11"/>
  <c r="I67" i="11"/>
  <c r="E67" i="11"/>
  <c r="I66" i="11"/>
  <c r="E66" i="11"/>
  <c r="I65" i="11"/>
  <c r="E65" i="11"/>
  <c r="I64" i="11"/>
  <c r="E64" i="11"/>
  <c r="I63" i="11"/>
  <c r="E63" i="11"/>
  <c r="I62" i="11"/>
  <c r="E62" i="11"/>
  <c r="I61" i="11"/>
  <c r="E61" i="11"/>
  <c r="I60" i="11"/>
  <c r="E60" i="11"/>
  <c r="I59" i="11"/>
  <c r="E59" i="11"/>
  <c r="I58" i="11"/>
  <c r="E58" i="11"/>
  <c r="I57" i="11"/>
  <c r="E57" i="11"/>
  <c r="I56" i="11"/>
  <c r="E56" i="11"/>
  <c r="I55" i="11"/>
  <c r="E55" i="11"/>
  <c r="I54" i="11"/>
  <c r="E54" i="11"/>
  <c r="I53" i="11"/>
  <c r="E53" i="11"/>
  <c r="I52" i="11"/>
  <c r="E52" i="11"/>
  <c r="I51" i="11"/>
  <c r="E51" i="11"/>
  <c r="I50" i="11"/>
  <c r="E50" i="11"/>
  <c r="I49" i="11"/>
  <c r="E49" i="11"/>
  <c r="I48" i="11"/>
  <c r="E48" i="11"/>
  <c r="I47" i="11"/>
  <c r="E47" i="11"/>
  <c r="I46" i="11"/>
  <c r="E46" i="11"/>
  <c r="I45" i="11"/>
  <c r="E45" i="11"/>
  <c r="I44" i="11"/>
  <c r="E44" i="11"/>
  <c r="I43" i="11"/>
  <c r="E43" i="11"/>
  <c r="I42" i="11"/>
  <c r="E42" i="11"/>
  <c r="I41" i="11"/>
  <c r="E41" i="11"/>
  <c r="I40" i="11"/>
  <c r="E40" i="11"/>
  <c r="I39" i="11"/>
  <c r="E39" i="11"/>
  <c r="I38" i="11"/>
  <c r="E38" i="11"/>
  <c r="I37" i="11"/>
  <c r="E37" i="11"/>
  <c r="I36" i="11"/>
  <c r="E36" i="11"/>
  <c r="I35" i="11"/>
  <c r="E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M17" i="11"/>
  <c r="I17" i="11"/>
  <c r="I16" i="11"/>
  <c r="I15" i="11"/>
  <c r="I14" i="11"/>
  <c r="I13" i="11"/>
  <c r="I12" i="11"/>
  <c r="I11" i="11"/>
  <c r="I10" i="11"/>
  <c r="I9" i="11"/>
  <c r="L9" i="10"/>
  <c r="L8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9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M17" i="10"/>
  <c r="I17" i="10"/>
  <c r="I16" i="10"/>
  <c r="I15" i="10"/>
  <c r="I14" i="10"/>
  <c r="I13" i="10"/>
  <c r="I12" i="10"/>
  <c r="I11" i="10"/>
  <c r="I10" i="10"/>
  <c r="I9" i="10"/>
  <c r="M17" i="3"/>
  <c r="L9" i="3"/>
  <c r="M13" i="11" l="1"/>
  <c r="M19" i="11" s="1"/>
  <c r="M13" i="10"/>
  <c r="M19" i="10" s="1"/>
  <c r="I67" i="3" l="1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K26" i="2"/>
  <c r="F42" i="2" l="1"/>
  <c r="G41" i="2"/>
  <c r="F41" i="2"/>
  <c r="G40" i="2"/>
  <c r="F40" i="2"/>
  <c r="D26" i="2"/>
  <c r="K27" i="2"/>
  <c r="K35" i="2"/>
  <c r="K33" i="2"/>
  <c r="K32" i="2"/>
  <c r="K31" i="2"/>
  <c r="F33" i="2"/>
  <c r="E33" i="2"/>
  <c r="E32" i="2"/>
  <c r="E31" i="2"/>
  <c r="D33" i="2"/>
  <c r="K19" i="2"/>
  <c r="J19" i="2"/>
  <c r="I19" i="2"/>
  <c r="H19" i="2"/>
  <c r="K18" i="2"/>
  <c r="J18" i="2"/>
  <c r="I18" i="2"/>
  <c r="H18" i="2"/>
  <c r="G19" i="2"/>
  <c r="G18" i="2"/>
  <c r="K13" i="2"/>
  <c r="K14" i="2"/>
  <c r="K15" i="2"/>
  <c r="K16" i="2"/>
  <c r="K12" i="2"/>
  <c r="I16" i="2"/>
  <c r="H16" i="2"/>
  <c r="I15" i="2"/>
  <c r="H15" i="2"/>
  <c r="I14" i="2"/>
  <c r="H14" i="2"/>
  <c r="I13" i="2"/>
  <c r="H13" i="2"/>
  <c r="I12" i="2"/>
  <c r="H12" i="2"/>
  <c r="J26" i="1"/>
  <c r="C27" i="1"/>
  <c r="D27" i="1" s="1"/>
  <c r="E27" i="1" s="1"/>
  <c r="E26" i="1" s="1"/>
  <c r="E35" i="1"/>
  <c r="G18" i="1"/>
  <c r="I16" i="1"/>
  <c r="I13" i="1"/>
  <c r="I14" i="1"/>
  <c r="I15" i="1"/>
  <c r="I12" i="1"/>
  <c r="H13" i="1"/>
  <c r="H14" i="1"/>
  <c r="K14" i="1" s="1"/>
  <c r="H15" i="1"/>
  <c r="K15" i="1" s="1"/>
  <c r="H16" i="1"/>
  <c r="K16" i="1" s="1"/>
  <c r="H12" i="1"/>
  <c r="E29" i="1" l="1"/>
  <c r="Q26" i="1"/>
  <c r="H19" i="1"/>
  <c r="I19" i="1"/>
  <c r="J18" i="1"/>
  <c r="I18" i="1"/>
  <c r="H18" i="1"/>
  <c r="D25" i="1"/>
  <c r="D26" i="1"/>
  <c r="K12" i="1"/>
  <c r="K13" i="1" l="1"/>
  <c r="D29" i="1"/>
  <c r="K18" i="1" l="1"/>
  <c r="K19" i="1"/>
  <c r="J24" i="1" s="1"/>
  <c r="J27" i="1" s="1"/>
  <c r="K34" i="1" s="1"/>
  <c r="K36" i="1" s="1"/>
  <c r="P26" i="1" s="1"/>
  <c r="P27" i="1" s="1"/>
</calcChain>
</file>

<file path=xl/sharedStrings.xml><?xml version="1.0" encoding="utf-8"?>
<sst xmlns="http://schemas.openxmlformats.org/spreadsheetml/2006/main" count="201" uniqueCount="116">
  <si>
    <t>Weighted Average Cost Of Capital</t>
  </si>
  <si>
    <t>All Figures are in INR unless staed otherwise</t>
  </si>
  <si>
    <t>Peer Comps</t>
  </si>
  <si>
    <t>Name of the Comp</t>
  </si>
  <si>
    <t>Country</t>
  </si>
  <si>
    <t xml:space="preserve">Total Debt </t>
  </si>
  <si>
    <t>Total Equity</t>
  </si>
  <si>
    <r>
      <t xml:space="preserve">Tax Rate </t>
    </r>
    <r>
      <rPr>
        <vertAlign val="superscript"/>
        <sz val="11"/>
        <color theme="1"/>
        <rFont val="Calibri"/>
        <family val="2"/>
        <scheme val="minor"/>
      </rPr>
      <t>1</t>
    </r>
  </si>
  <si>
    <t>Debt/</t>
  </si>
  <si>
    <t>Equity</t>
  </si>
  <si>
    <t>Debt /</t>
  </si>
  <si>
    <t>Capital</t>
  </si>
  <si>
    <t>Levered</t>
  </si>
  <si>
    <t xml:space="preserve">Unlevered </t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</si>
  <si>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3</t>
    </r>
  </si>
  <si>
    <r>
      <t xml:space="preserve">Beta </t>
    </r>
    <r>
      <rPr>
        <vertAlign val="superscript"/>
        <sz val="11"/>
        <color theme="1"/>
        <rFont val="Calibri"/>
        <family val="2"/>
        <scheme val="minor"/>
      </rPr>
      <t>2</t>
    </r>
  </si>
  <si>
    <t>Hind. Unilever</t>
  </si>
  <si>
    <t>India</t>
  </si>
  <si>
    <t>Nestle India</t>
  </si>
  <si>
    <t>Britannia Inds.</t>
  </si>
  <si>
    <t>Godrej Consumer</t>
  </si>
  <si>
    <t>Dabur India</t>
  </si>
  <si>
    <t>Average</t>
  </si>
  <si>
    <t>Median</t>
  </si>
  <si>
    <t>Cost Of Debt</t>
  </si>
  <si>
    <t>Pre- Tax Cost Of Debt</t>
  </si>
  <si>
    <t>Tax Rate</t>
  </si>
  <si>
    <t>Post Tax Cost of Debt</t>
  </si>
  <si>
    <t>Cost Of Equity</t>
  </si>
  <si>
    <t>Risk Free Rate</t>
  </si>
  <si>
    <t>ERP</t>
  </si>
  <si>
    <r>
      <t xml:space="preserve">Levered Beta </t>
    </r>
    <r>
      <rPr>
        <vertAlign val="superscript"/>
        <sz val="11"/>
        <color theme="1"/>
        <rFont val="Calibri"/>
        <family val="2"/>
        <scheme val="minor"/>
      </rPr>
      <t>4</t>
    </r>
  </si>
  <si>
    <t>Capital Structure</t>
  </si>
  <si>
    <t>Current</t>
  </si>
  <si>
    <t>Target</t>
  </si>
  <si>
    <t>Total Debt</t>
  </si>
  <si>
    <t>Market Capitalization</t>
  </si>
  <si>
    <t>Total Capital</t>
  </si>
  <si>
    <t>Levered Beta</t>
  </si>
  <si>
    <t>Comps Median Unlevered Beta</t>
  </si>
  <si>
    <t>Targeted Debt/Equity</t>
  </si>
  <si>
    <t>Debt/Equity</t>
  </si>
  <si>
    <t>Debt</t>
  </si>
  <si>
    <t>Total Cost</t>
  </si>
  <si>
    <t>NOTES</t>
  </si>
  <si>
    <t>1.Tax Rate is taken as margial rate of the country</t>
  </si>
  <si>
    <t>2.Levered Beta based on 5 year Monthly average</t>
  </si>
  <si>
    <t>3 Unlevered Beta = Levered/(1+(1- Tax Rate)*(Debt/Equity)</t>
  </si>
  <si>
    <t>4. Levered Beta = UnLevered*(1+(1- Tax Rate)*(Debt/Equity)</t>
  </si>
  <si>
    <t>Unlevered</t>
  </si>
  <si>
    <t>Beta</t>
  </si>
  <si>
    <t>Interest Rate</t>
  </si>
  <si>
    <t>Market Risk Premium</t>
  </si>
  <si>
    <t>Comps Unlevered Beta median</t>
  </si>
  <si>
    <t>Target D/E</t>
  </si>
  <si>
    <t>Cost Of Equity`</t>
  </si>
  <si>
    <t>WACC</t>
  </si>
  <si>
    <t>Cost</t>
  </si>
  <si>
    <t>Proportion</t>
  </si>
  <si>
    <t>Date</t>
  </si>
  <si>
    <t>Regression Beta</t>
  </si>
  <si>
    <t>Nifty Monthly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</si>
  <si>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</si>
  <si>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</si>
  <si>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</si>
  <si>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</si>
  <si>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</si>
  <si>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</si>
  <si>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</si>
  <si>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</si>
  <si>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</si>
  <si>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</si>
  <si>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</si>
  <si>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</si>
  <si>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</si>
  <si>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</si>
  <si>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</si>
  <si>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</si>
  <si>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</si>
  <si>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</si>
  <si>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</si>
  <si>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</si>
  <si>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</si>
  <si>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</si>
  <si>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</si>
  <si>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</si>
  <si>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</si>
  <si>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Raw Unlevered Beta</t>
  </si>
  <si>
    <t>Beta ka value jo regression se nikla hai</t>
  </si>
  <si>
    <t>Market Beta</t>
  </si>
  <si>
    <t xml:space="preserve">Weight </t>
  </si>
  <si>
    <t>Adjusted Beta</t>
  </si>
  <si>
    <t xml:space="preserve">Beta </t>
  </si>
  <si>
    <t>Dates</t>
  </si>
  <si>
    <t>Adj Closing</t>
  </si>
  <si>
    <t>Return</t>
  </si>
  <si>
    <t>Closing</t>
  </si>
  <si>
    <t>Returns</t>
  </si>
  <si>
    <t>Beta Calculation</t>
  </si>
  <si>
    <t>Beta Adjustement</t>
  </si>
  <si>
    <t>Weigth</t>
  </si>
  <si>
    <t>Metro Brands Monthly Returns</t>
  </si>
  <si>
    <t>Aditya Birla Fast Fashion Monthly Returns</t>
  </si>
  <si>
    <t>Vedant Fashion Monthly Returns</t>
  </si>
  <si>
    <t>Avenue Supermart</t>
  </si>
  <si>
    <t>Trent</t>
  </si>
  <si>
    <t>Vedant Fashions</t>
  </si>
  <si>
    <t>Aditya Birla</t>
  </si>
  <si>
    <t xml:space="preserve">Metro Brands </t>
  </si>
  <si>
    <t>Targeted Weight</t>
  </si>
  <si>
    <t>Return On Markets</t>
  </si>
  <si>
    <t>Year</t>
  </si>
  <si>
    <t>Annual</t>
  </si>
  <si>
    <t xml:space="preserve">Average Return On Market </t>
  </si>
  <si>
    <t>Dividend Yeild</t>
  </si>
  <si>
    <t xml:space="preserve">Total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</si>
</sst>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000000000%"/>
    <numFmt numFmtId="167" formatCode="0.000000000000000%"/>
    <numFmt numFmtId="168" formatCode="m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232A31"/>
      <name val="Calibri"/>
      <family val="2"/>
      <scheme val="minor"/>
    </font>
    <font>
      <sz val="11"/>
      <color rgb="FF232A3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Lexend"/>
    </font>
    <font>
      <sz val="11"/>
      <color theme="1"/>
      <name val="Lexend"/>
    </font>
    <font>
      <sz val="12"/>
      <color theme="0"/>
      <name val="Lexend"/>
    </font>
    <font>
      <i/>
      <sz val="11"/>
      <color theme="1"/>
      <name val="Calibri"/>
      <family val="2"/>
      <scheme val="minor"/>
    </font>
    <font>
      <sz val="24"/>
      <color theme="0"/>
      <name val="Lexend"/>
    </font>
    <font>
      <sz val="5"/>
      <color rgb="FF232A31"/>
      <name val="Arial"/>
      <family val="2"/>
    </font>
    <font>
      <sz val="11"/>
      <name val="Calibri"/>
      <family val="2"/>
      <scheme val="minor"/>
    </font>
    <font>
      <sz val="26"/>
      <color theme="0"/>
      <name val="Lexend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mediumDashDotDot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0" xfId="0" applyFont="1" applyFill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9" fontId="0" fillId="0" borderId="0" xfId="1" applyFont="1"/>
    <xf numFmtId="10" fontId="0" fillId="3" borderId="0" xfId="1" applyNumberFormat="1" applyFont="1" applyFill="1"/>
    <xf numFmtId="2" fontId="0" fillId="0" borderId="0" xfId="0" applyNumberFormat="1"/>
    <xf numFmtId="2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2" fontId="0" fillId="3" borderId="0" xfId="0" applyNumberFormat="1" applyFill="1"/>
    <xf numFmtId="0" fontId="3" fillId="0" borderId="1" xfId="0" applyFont="1" applyBorder="1"/>
    <xf numFmtId="10" fontId="0" fillId="0" borderId="1" xfId="0" applyNumberFormat="1" applyBorder="1"/>
    <xf numFmtId="10" fontId="0" fillId="3" borderId="1" xfId="1" applyNumberFormat="1" applyFont="1" applyFill="1" applyBorder="1"/>
    <xf numFmtId="2" fontId="0" fillId="0" borderId="1" xfId="0" applyNumberFormat="1" applyBorder="1"/>
    <xf numFmtId="0" fontId="3" fillId="0" borderId="2" xfId="0" applyFont="1" applyBorder="1"/>
    <xf numFmtId="10" fontId="0" fillId="0" borderId="2" xfId="0" applyNumberFormat="1" applyBorder="1"/>
    <xf numFmtId="10" fontId="0" fillId="3" borderId="2" xfId="1" applyNumberFormat="1" applyFont="1" applyFill="1" applyBorder="1"/>
    <xf numFmtId="2" fontId="0" fillId="0" borderId="2" xfId="0" applyNumberFormat="1" applyBorder="1"/>
    <xf numFmtId="0" fontId="0" fillId="0" borderId="3" xfId="0" applyBorder="1"/>
    <xf numFmtId="9" fontId="0" fillId="0" borderId="0" xfId="0" applyNumberFormat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9" fontId="0" fillId="0" borderId="5" xfId="0" applyNumberFormat="1" applyBorder="1"/>
    <xf numFmtId="165" fontId="0" fillId="0" borderId="0" xfId="0" applyNumberFormat="1"/>
    <xf numFmtId="0" fontId="3" fillId="0" borderId="4" xfId="0" applyFont="1" applyBorder="1"/>
    <xf numFmtId="0" fontId="3" fillId="0" borderId="5" xfId="0" applyFont="1" applyBorder="1"/>
    <xf numFmtId="164" fontId="0" fillId="0" borderId="0" xfId="0" applyNumberFormat="1"/>
    <xf numFmtId="164" fontId="0" fillId="3" borderId="0" xfId="0" applyNumberFormat="1" applyFill="1"/>
    <xf numFmtId="2" fontId="0" fillId="0" borderId="4" xfId="0" applyNumberFormat="1" applyBorder="1"/>
    <xf numFmtId="10" fontId="0" fillId="0" borderId="5" xfId="0" applyNumberFormat="1" applyBorder="1"/>
    <xf numFmtId="9" fontId="5" fillId="0" borderId="0" xfId="0" applyNumberFormat="1" applyFont="1"/>
    <xf numFmtId="0" fontId="7" fillId="0" borderId="0" xfId="0" applyFont="1"/>
    <xf numFmtId="166" fontId="0" fillId="0" borderId="0" xfId="0" applyNumberFormat="1"/>
    <xf numFmtId="167" fontId="0" fillId="0" borderId="0" xfId="0" applyNumberFormat="1"/>
    <xf numFmtId="0" fontId="9" fillId="4" borderId="0" xfId="0" applyFont="1" applyFill="1" applyAlignment="1">
      <alignment horizontal="left" vertical="center"/>
    </xf>
    <xf numFmtId="4" fontId="9" fillId="4" borderId="0" xfId="0" applyNumberFormat="1" applyFont="1" applyFill="1" applyAlignment="1">
      <alignment horizontal="right" vertical="center"/>
    </xf>
    <xf numFmtId="10" fontId="9" fillId="4" borderId="0" xfId="1" applyNumberFormat="1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4" fontId="11" fillId="0" borderId="0" xfId="0" applyNumberFormat="1" applyFont="1" applyAlignment="1">
      <alignment horizontal="right" vertical="center"/>
    </xf>
    <xf numFmtId="10" fontId="0" fillId="0" borderId="0" xfId="1" applyNumberFormat="1" applyFont="1"/>
    <xf numFmtId="0" fontId="13" fillId="0" borderId="0" xfId="0" applyFont="1"/>
    <xf numFmtId="2" fontId="0" fillId="0" borderId="0" xfId="1" applyNumberFormat="1" applyFont="1"/>
    <xf numFmtId="0" fontId="17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4" fontId="0" fillId="0" borderId="0" xfId="0" applyNumberFormat="1"/>
    <xf numFmtId="168" fontId="0" fillId="0" borderId="0" xfId="0" applyNumberFormat="1"/>
    <xf numFmtId="14" fontId="8" fillId="4" borderId="0" xfId="0" applyNumberFormat="1" applyFont="1" applyFill="1" applyAlignment="1">
      <alignment horizontal="left" vertical="center"/>
    </xf>
    <xf numFmtId="14" fontId="9" fillId="4" borderId="0" xfId="0" applyNumberFormat="1" applyFont="1" applyFill="1" applyAlignment="1">
      <alignment horizontal="left" vertical="center"/>
    </xf>
    <xf numFmtId="0" fontId="0" fillId="0" borderId="6" xfId="0" applyBorder="1"/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Continuous"/>
    </xf>
    <xf numFmtId="2" fontId="18" fillId="0" borderId="0" xfId="0" applyNumberFormat="1" applyFont="1"/>
    <xf numFmtId="0" fontId="18" fillId="0" borderId="0" xfId="0" applyFont="1"/>
    <xf numFmtId="10" fontId="18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1" applyFont="1" applyAlignment="1">
      <alignment horizontal="right"/>
    </xf>
    <xf numFmtId="10" fontId="3" fillId="0" borderId="5" xfId="0" applyNumberFormat="1" applyFont="1" applyBorder="1" applyAlignment="1">
      <alignment horizontal="center"/>
    </xf>
    <xf numFmtId="0" fontId="14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4" formatCode="#,##0.00"/>
      <alignment horizontal="right" vertical="center" textRotation="0" wrapText="0" indent="0" justifyLastLine="0" shrinkToFit="0" readingOrder="0"/>
    </dxf>
    <dxf>
      <numFmt numFmtId="168" formatCode="m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68" formatCode="mmm/yy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4" formatCode="#,##0.00"/>
      <alignment horizontal="right" vertical="center" textRotation="0" wrapText="0" indent="0" justifyLastLine="0" shrinkToFit="0" readingOrder="0"/>
    </dxf>
    <dxf>
      <numFmt numFmtId="168" formatCode="m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68" formatCode="mmm/yy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4" formatCode="#,##0.00"/>
      <alignment horizontal="right" vertical="center" textRotation="0" wrapText="0" indent="0" justifyLastLine="0" shrinkToFit="0" readingOrder="0"/>
    </dxf>
    <dxf>
      <numFmt numFmtId="168" formatCode="m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4" formatCode="0.00%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B23CEC-1D43-4878-9204-F4A42244D308}" name="Table1" displayName="Table1" ref="C7:E39" totalsRowShown="0">
  <autoFilter ref="C7:E39" xr:uid="{23B23CEC-1D43-4878-9204-F4A42244D308}"/>
  <sortState xmlns:xlrd2="http://schemas.microsoft.com/office/spreadsheetml/2017/richdata2" ref="C8:E39">
    <sortCondition ref="C7:C39"/>
  </sortState>
  <tableColumns count="3">
    <tableColumn id="1" xr3:uid="{5333D409-AA55-4B60-BAB5-676E20BDC1A2}" name="Dates" dataDxfId="14"/>
    <tableColumn id="2" xr3:uid="{53D78852-FFA4-47BC-A8C4-1032CCE3ADBC}" name="Adj Closing" dataDxfId="13"/>
    <tableColumn id="3" xr3:uid="{4D791570-B78D-4349-8175-C9CC8D4A7AE0}" name="Return" dataDxfId="1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22F277-0C06-4FA7-8543-E57BCE8253AC}" name="Table3" displayName="Table3" ref="G7:I67" totalsRowShown="0">
  <autoFilter ref="G7:I67" xr:uid="{2622F277-0C06-4FA7-8543-E57BCE8253AC}"/>
  <sortState xmlns:xlrd2="http://schemas.microsoft.com/office/spreadsheetml/2017/richdata2" ref="G8:I67">
    <sortCondition ref="G7:G67"/>
  </sortState>
  <tableColumns count="3">
    <tableColumn id="1" xr3:uid="{7831CAFF-3B2E-45C7-868A-95F74D86895D}" name="Date" dataDxfId="11"/>
    <tableColumn id="2" xr3:uid="{C535AA71-8301-4E98-BBFE-48DD7924AB7C}" name="Closing" dataDxfId="10"/>
    <tableColumn id="3" xr3:uid="{821C41D2-3199-4F91-ADA9-F2DD76BA5C48}" name="Retur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71AF41-DF42-481F-A8D7-E5944299DBC0}" name="Table15" displayName="Table15" ref="C7:E67" totalsRowShown="0">
  <autoFilter ref="C7:E67" xr:uid="{23B23CEC-1D43-4878-9204-F4A42244D308}"/>
  <sortState xmlns:xlrd2="http://schemas.microsoft.com/office/spreadsheetml/2017/richdata2" ref="C8:E67">
    <sortCondition ref="C7:C67"/>
  </sortState>
  <tableColumns count="3">
    <tableColumn id="1" xr3:uid="{7F390034-D325-4B50-A314-B7EAE5BBFF4E}" name="Dates" dataDxfId="9"/>
    <tableColumn id="2" xr3:uid="{62441C15-B24D-4932-A272-B40A7C99C50A}" name="Adj Closing" dataDxfId="8"/>
    <tableColumn id="3" xr3:uid="{2FA2EE55-2B2E-4A28-958F-731D06D319DF}" name="Return" dataDxfId="7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B00F9-47F1-4996-8069-8BD5BD0CBB67}" name="Table37" displayName="Table37" ref="G7:I67" totalsRowShown="0">
  <autoFilter ref="G7:I67" xr:uid="{2622F277-0C06-4FA7-8543-E57BCE8253AC}"/>
  <sortState xmlns:xlrd2="http://schemas.microsoft.com/office/spreadsheetml/2017/richdata2" ref="G8:I67">
    <sortCondition ref="G7:G67"/>
  </sortState>
  <tableColumns count="3">
    <tableColumn id="1" xr3:uid="{08598B39-0697-4138-B8AC-CD128544CC70}" name="Date" dataDxfId="6"/>
    <tableColumn id="2" xr3:uid="{91A05CC4-6412-4BC0-895D-8E6097002EEE}" name="Closing" dataDxfId="5"/>
    <tableColumn id="3" xr3:uid="{BD83467A-4377-4829-9D2F-4E84656964A8}" name="Return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F1442C-0CE2-4F50-81E7-C3CD7D36FF35}" name="Table158" displayName="Table158" ref="C7:E67" totalsRowShown="0">
  <autoFilter ref="C7:E67" xr:uid="{23B23CEC-1D43-4878-9204-F4A42244D308}"/>
  <sortState xmlns:xlrd2="http://schemas.microsoft.com/office/spreadsheetml/2017/richdata2" ref="C8:E67">
    <sortCondition ref="C7:C67"/>
  </sortState>
  <tableColumns count="3">
    <tableColumn id="1" xr3:uid="{457576F2-D506-4F89-BB36-D1FD2841D3D7}" name="Dates" dataDxfId="4"/>
    <tableColumn id="2" xr3:uid="{D1D02269-C217-4579-AF09-D88EAF3A32D9}" name="Adj Closing" dataDxfId="3"/>
    <tableColumn id="3" xr3:uid="{ABF7DC2C-0E42-4FB9-836D-EB6BE77D2F7E}" name="Return" dataDxfId="2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27200F-D40C-42C9-9F9E-EFEADC4BB439}" name="Table379" displayName="Table379" ref="G7:I67" totalsRowShown="0">
  <autoFilter ref="G7:I67" xr:uid="{2622F277-0C06-4FA7-8543-E57BCE8253AC}"/>
  <sortState xmlns:xlrd2="http://schemas.microsoft.com/office/spreadsheetml/2017/richdata2" ref="G8:I67">
    <sortCondition ref="G7:G67"/>
  </sortState>
  <tableColumns count="3">
    <tableColumn id="1" xr3:uid="{72A9EC0F-0214-4917-9343-97BCE4266853}" name="Date" dataDxfId="1"/>
    <tableColumn id="2" xr3:uid="{F0324827-74DC-48B8-A175-519C8D2BA3C0}" name="Closing" dataDxfId="0"/>
    <tableColumn id="3" xr3:uid="{B4EB2944-5517-42B3-B49E-EB44DF058677}" name="Retur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03F7-F0C3-4968-A1ED-0090C05A3F6C}">
  <dimension ref="B4:Q47"/>
  <sheetViews>
    <sheetView topLeftCell="A8" workbookViewId="0">
      <selection activeCell="J14" sqref="J14"/>
    </sheetView>
  </sheetViews>
  <sheetFormatPr defaultRowHeight="14.4" x14ac:dyDescent="0.3"/>
  <cols>
    <col min="1" max="1" width="1.77734375" customWidth="1"/>
    <col min="2" max="2" width="35.77734375" bestFit="1" customWidth="1"/>
    <col min="9" max="9" width="9" bestFit="1" customWidth="1"/>
    <col min="10" max="10" width="10.109375" bestFit="1" customWidth="1"/>
    <col min="11" max="11" width="10.88671875" bestFit="1" customWidth="1"/>
  </cols>
  <sheetData>
    <row r="4" spans="2:11" x14ac:dyDescent="0.3">
      <c r="B4" s="3" t="s">
        <v>0</v>
      </c>
      <c r="C4" s="2"/>
      <c r="D4" s="2"/>
      <c r="E4" s="2"/>
      <c r="F4" s="2"/>
      <c r="G4" s="2"/>
      <c r="H4" s="2"/>
      <c r="I4" s="2"/>
      <c r="J4" s="2"/>
      <c r="K4" s="2"/>
    </row>
    <row r="6" spans="2:11" x14ac:dyDescent="0.3">
      <c r="B6" s="13" t="s">
        <v>1</v>
      </c>
    </row>
    <row r="8" spans="2:11" ht="15" thickBot="1" x14ac:dyDescent="0.35">
      <c r="B8" t="s">
        <v>2</v>
      </c>
    </row>
    <row r="9" spans="2:11" ht="15" thickTop="1" x14ac:dyDescent="0.3">
      <c r="B9" s="5"/>
      <c r="C9" s="5"/>
      <c r="D9" s="5"/>
      <c r="E9" s="5"/>
      <c r="F9" s="5"/>
      <c r="G9" s="5"/>
      <c r="H9" s="5" t="s">
        <v>8</v>
      </c>
      <c r="I9" s="5" t="s">
        <v>10</v>
      </c>
      <c r="J9" s="5" t="s">
        <v>12</v>
      </c>
      <c r="K9" s="5" t="s">
        <v>13</v>
      </c>
    </row>
    <row r="10" spans="2:11" ht="16.8" thickBot="1" x14ac:dyDescent="0.35">
      <c r="B10" s="6" t="s">
        <v>3</v>
      </c>
      <c r="C10" s="6"/>
      <c r="D10" s="6" t="s">
        <v>4</v>
      </c>
      <c r="E10" s="6" t="s">
        <v>5</v>
      </c>
      <c r="F10" s="6" t="s">
        <v>6</v>
      </c>
      <c r="G10" s="6" t="s">
        <v>7</v>
      </c>
      <c r="H10" s="6" t="s">
        <v>9</v>
      </c>
      <c r="I10" s="6" t="s">
        <v>11</v>
      </c>
      <c r="J10" s="6" t="s">
        <v>15</v>
      </c>
      <c r="K10" s="6" t="s">
        <v>14</v>
      </c>
    </row>
    <row r="11" spans="2:11" ht="15" thickTop="1" x14ac:dyDescent="0.3"/>
    <row r="12" spans="2:11" x14ac:dyDescent="0.3">
      <c r="B12" t="s">
        <v>104</v>
      </c>
      <c r="D12" s="11" t="s">
        <v>17</v>
      </c>
      <c r="E12" s="11">
        <v>710</v>
      </c>
      <c r="F12" s="11">
        <v>226410</v>
      </c>
      <c r="G12" s="12">
        <v>0.3</v>
      </c>
      <c r="H12" s="8">
        <f>$E12/F12</f>
        <v>3.1359038911708847E-3</v>
      </c>
      <c r="I12" s="8">
        <f>E12/SUM(E12:F12)</f>
        <v>3.1261007396970763E-3</v>
      </c>
      <c r="J12" s="10">
        <v>0.03</v>
      </c>
      <c r="K12" s="14">
        <f>J12/(1+(1-G12)*H12)</f>
        <v>2.9934290259886205E-2</v>
      </c>
    </row>
    <row r="13" spans="2:11" x14ac:dyDescent="0.3">
      <c r="B13" t="s">
        <v>105</v>
      </c>
      <c r="D13" s="11" t="s">
        <v>17</v>
      </c>
      <c r="E13" s="11">
        <v>4526</v>
      </c>
      <c r="F13" s="11">
        <v>46442</v>
      </c>
      <c r="G13" s="12">
        <v>0.3</v>
      </c>
      <c r="H13" s="8">
        <f t="shared" ref="H13:H16" si="0">$E13/F13</f>
        <v>9.7454889970285521E-2</v>
      </c>
      <c r="I13" s="8">
        <f t="shared" ref="I13:I15" si="1">E13/SUM(E13:F13)</f>
        <v>8.8800816198398996E-2</v>
      </c>
      <c r="J13" s="10">
        <v>0.28999999999999998</v>
      </c>
      <c r="K13" s="14">
        <f t="shared" ref="K13:K15" si="2">J13/(1+(1-G13)*H13)</f>
        <v>0.27148005853634938</v>
      </c>
    </row>
    <row r="14" spans="2:11" x14ac:dyDescent="0.3">
      <c r="B14" t="s">
        <v>106</v>
      </c>
      <c r="D14" s="11" t="s">
        <v>17</v>
      </c>
      <c r="E14" s="11">
        <v>248.9</v>
      </c>
      <c r="F14" s="11">
        <v>30929</v>
      </c>
      <c r="G14" s="12">
        <v>0.3</v>
      </c>
      <c r="H14" s="8">
        <f t="shared" si="0"/>
        <v>8.0474635455397847E-3</v>
      </c>
      <c r="I14" s="8">
        <f t="shared" si="1"/>
        <v>7.9832188826059487E-3</v>
      </c>
      <c r="J14" s="60">
        <f>'Vedant Fashion'!M19</f>
        <v>0.7034219639830892</v>
      </c>
      <c r="K14" s="14">
        <f t="shared" si="2"/>
        <v>0.69948162695748861</v>
      </c>
    </row>
    <row r="15" spans="2:11" x14ac:dyDescent="0.3">
      <c r="B15" t="s">
        <v>107</v>
      </c>
      <c r="D15" s="11" t="s">
        <v>17</v>
      </c>
      <c r="E15" s="11">
        <v>4617.6000000000004</v>
      </c>
      <c r="F15" s="11">
        <v>23556</v>
      </c>
      <c r="G15" s="12">
        <v>0.3</v>
      </c>
      <c r="H15" s="8">
        <f t="shared" si="0"/>
        <v>0.19602649006622519</v>
      </c>
      <c r="I15" s="8">
        <f t="shared" si="1"/>
        <v>0.16389811738648949</v>
      </c>
      <c r="J15" s="60">
        <f>'Aditya birla'!M19</f>
        <v>0.99246668771344038</v>
      </c>
      <c r="K15" s="14">
        <f t="shared" si="2"/>
        <v>0.8727141267454549</v>
      </c>
    </row>
    <row r="16" spans="2:11" x14ac:dyDescent="0.3">
      <c r="B16" t="s">
        <v>108</v>
      </c>
      <c r="D16" s="11" t="s">
        <v>17</v>
      </c>
      <c r="E16" s="11">
        <v>805</v>
      </c>
      <c r="F16" s="11">
        <v>21853</v>
      </c>
      <c r="G16" s="12">
        <v>0.3</v>
      </c>
      <c r="H16" s="8">
        <f t="shared" si="0"/>
        <v>3.6837047544959499E-2</v>
      </c>
      <c r="I16" s="8">
        <f>E16/SUM(E16:F16)</f>
        <v>3.5528290228616824E-2</v>
      </c>
      <c r="J16" s="60">
        <f>'Metro Brands'!M19</f>
        <v>0.72670074241703742</v>
      </c>
      <c r="K16" s="14">
        <f>J16/(1+(1-G16)*H16)</f>
        <v>0.7084331329172493</v>
      </c>
    </row>
    <row r="17" spans="2:17" ht="15" thickBot="1" x14ac:dyDescent="0.35"/>
    <row r="18" spans="2:17" ht="15" thickTop="1" x14ac:dyDescent="0.3">
      <c r="F18" s="15" t="s">
        <v>22</v>
      </c>
      <c r="G18" s="16">
        <f>AVERAGE(G12:G16)</f>
        <v>0.3</v>
      </c>
      <c r="H18" s="17">
        <f>AVERAGE(H12:H16)</f>
        <v>6.8300359003636166E-2</v>
      </c>
      <c r="I18" s="17">
        <f>AVERAGE(I12:I16)</f>
        <v>5.9867308687161655E-2</v>
      </c>
      <c r="J18" s="18">
        <f>AVERAGE(J12:J16)</f>
        <v>0.54851787882271341</v>
      </c>
      <c r="K18" s="18">
        <f>AVERAGE(K12:K16)</f>
        <v>0.5164086470832856</v>
      </c>
    </row>
    <row r="19" spans="2:17" ht="15" thickBot="1" x14ac:dyDescent="0.35">
      <c r="F19" s="19" t="s">
        <v>23</v>
      </c>
      <c r="G19" s="20">
        <f>MEDIAN(G12:G16)</f>
        <v>0.3</v>
      </c>
      <c r="H19" s="21">
        <f t="shared" ref="H19:J19" si="3">MEDIAN(H12:H16)</f>
        <v>3.6837047544959499E-2</v>
      </c>
      <c r="I19" s="21">
        <f t="shared" si="3"/>
        <v>3.5528290228616824E-2</v>
      </c>
      <c r="J19" s="22">
        <f t="shared" si="3"/>
        <v>0.7034219639830892</v>
      </c>
      <c r="K19" s="22">
        <f>MEDIAN(K12:K16)</f>
        <v>0.69948162695748861</v>
      </c>
    </row>
    <row r="20" spans="2:17" ht="15" thickTop="1" x14ac:dyDescent="0.3"/>
    <row r="22" spans="2:17" ht="15" thickBot="1" x14ac:dyDescent="0.35">
      <c r="B22" s="19" t="s">
        <v>32</v>
      </c>
      <c r="C22" s="19"/>
      <c r="D22" s="19"/>
      <c r="E22" s="19"/>
      <c r="G22" s="19" t="s">
        <v>38</v>
      </c>
      <c r="H22" s="19"/>
      <c r="I22" s="19"/>
      <c r="J22" s="19"/>
      <c r="K22" s="19"/>
      <c r="M22" s="19" t="s">
        <v>0</v>
      </c>
      <c r="N22" s="19"/>
      <c r="O22" s="19"/>
      <c r="P22" s="19"/>
      <c r="Q22" s="19"/>
    </row>
    <row r="23" spans="2:17" ht="15" thickTop="1" x14ac:dyDescent="0.3"/>
    <row r="24" spans="2:17" ht="15" thickBot="1" x14ac:dyDescent="0.35">
      <c r="D24" s="19" t="s">
        <v>33</v>
      </c>
      <c r="E24" s="19" t="s">
        <v>34</v>
      </c>
      <c r="G24" t="s">
        <v>39</v>
      </c>
      <c r="J24" s="9">
        <f>K19</f>
        <v>0.69948162695748861</v>
      </c>
      <c r="P24" t="s">
        <v>43</v>
      </c>
      <c r="Q24" t="s">
        <v>109</v>
      </c>
    </row>
    <row r="25" spans="2:17" ht="15" thickTop="1" x14ac:dyDescent="0.3">
      <c r="B25" t="s">
        <v>35</v>
      </c>
      <c r="C25" s="61">
        <f>E12</f>
        <v>710</v>
      </c>
      <c r="D25" s="7">
        <f>C25/$C$27</f>
        <v>3.1261007396970763E-3</v>
      </c>
      <c r="E25" s="62">
        <f>I19</f>
        <v>3.5528290228616824E-2</v>
      </c>
      <c r="G25" t="s">
        <v>40</v>
      </c>
      <c r="J25" s="32">
        <f>E29</f>
        <v>3.6837047544959499E-2</v>
      </c>
      <c r="M25" t="s">
        <v>42</v>
      </c>
      <c r="P25" s="4">
        <f>E35</f>
        <v>5.8799999999999998E-2</v>
      </c>
      <c r="Q25" s="4">
        <f>E25</f>
        <v>3.5528290228616824E-2</v>
      </c>
    </row>
    <row r="26" spans="2:17" x14ac:dyDescent="0.3">
      <c r="B26" t="s">
        <v>36</v>
      </c>
      <c r="C26" s="61">
        <f>F12</f>
        <v>226410</v>
      </c>
      <c r="D26" s="7">
        <f>C26/$C$27</f>
        <v>0.9968738992603029</v>
      </c>
      <c r="E26" s="29">
        <f>E27-E25</f>
        <v>0.96447170977138319</v>
      </c>
      <c r="G26" t="s">
        <v>26</v>
      </c>
      <c r="J26" s="24">
        <f>E34</f>
        <v>0.3</v>
      </c>
      <c r="M26" t="s">
        <v>9</v>
      </c>
      <c r="P26" s="4">
        <f>K36</f>
        <v>0.14184301444040459</v>
      </c>
      <c r="Q26" s="29">
        <f>E26</f>
        <v>0.96447170977138319</v>
      </c>
    </row>
    <row r="27" spans="2:17" x14ac:dyDescent="0.3">
      <c r="B27" s="31" t="s">
        <v>37</v>
      </c>
      <c r="C27" s="27">
        <f>SUM(C25:C26)</f>
        <v>227120</v>
      </c>
      <c r="D27" s="7">
        <f>C27/$C$27</f>
        <v>1</v>
      </c>
      <c r="E27" s="28">
        <f>D27</f>
        <v>1</v>
      </c>
      <c r="G27" s="30" t="s">
        <v>38</v>
      </c>
      <c r="H27" s="26"/>
      <c r="I27" s="26"/>
      <c r="J27" s="34">
        <f>J24*(1+(1-J26)*J25)</f>
        <v>0.71751841352182966</v>
      </c>
      <c r="M27" s="27" t="str">
        <f>M22</f>
        <v>Weighted Average Cost Of Capital</v>
      </c>
      <c r="N27" s="27"/>
      <c r="O27" s="27"/>
      <c r="P27" s="66">
        <f>SUMPRODUCT(P25:Q25,P26:Q26)</f>
        <v>4.2606400071143788E-2</v>
      </c>
      <c r="Q27" s="66"/>
    </row>
    <row r="29" spans="2:17" x14ac:dyDescent="0.3">
      <c r="B29" t="s">
        <v>41</v>
      </c>
      <c r="D29" s="33">
        <f>D25/D26</f>
        <v>3.1359038911708847E-3</v>
      </c>
      <c r="E29" s="33">
        <f>E25/E26</f>
        <v>3.6837047544959499E-2</v>
      </c>
    </row>
    <row r="31" spans="2:17" ht="15" thickBot="1" x14ac:dyDescent="0.35">
      <c r="B31" s="19" t="s">
        <v>24</v>
      </c>
      <c r="C31" s="19"/>
      <c r="D31" s="19"/>
      <c r="E31" s="19"/>
      <c r="G31" s="1" t="s">
        <v>28</v>
      </c>
    </row>
    <row r="32" spans="2:17" ht="15" thickTop="1" x14ac:dyDescent="0.3">
      <c r="G32" s="5"/>
      <c r="H32" s="5"/>
      <c r="I32" s="5"/>
      <c r="J32" s="5"/>
      <c r="K32" s="5"/>
    </row>
    <row r="33" spans="2:11" x14ac:dyDescent="0.3">
      <c r="B33" t="s">
        <v>25</v>
      </c>
      <c r="E33" s="12">
        <v>8.4000000000000005E-2</v>
      </c>
      <c r="G33" t="s">
        <v>29</v>
      </c>
      <c r="K33" s="12">
        <v>7.3899999999999993E-2</v>
      </c>
    </row>
    <row r="34" spans="2:11" ht="16.8" thickBot="1" x14ac:dyDescent="0.35">
      <c r="B34" t="s">
        <v>26</v>
      </c>
      <c r="E34" s="36">
        <v>0.3</v>
      </c>
      <c r="G34" t="s">
        <v>31</v>
      </c>
      <c r="K34" s="9">
        <f>J27</f>
        <v>0.71751841352182966</v>
      </c>
    </row>
    <row r="35" spans="2:11" x14ac:dyDescent="0.3">
      <c r="B35" s="23" t="s">
        <v>27</v>
      </c>
      <c r="C35" s="23"/>
      <c r="D35" s="23"/>
      <c r="E35" s="25">
        <f>E33*(1-E34)</f>
        <v>5.8799999999999998E-2</v>
      </c>
      <c r="G35" t="s">
        <v>30</v>
      </c>
      <c r="K35" s="36">
        <f>'Return On Market'!H10-Actual!K33</f>
        <v>9.4691666666666674E-2</v>
      </c>
    </row>
    <row r="36" spans="2:11" x14ac:dyDescent="0.3">
      <c r="F36" s="26"/>
      <c r="G36" s="27" t="s">
        <v>28</v>
      </c>
      <c r="H36" s="27"/>
      <c r="I36" s="27"/>
      <c r="J36" s="27"/>
      <c r="K36" s="35">
        <f>K33+K34*K35</f>
        <v>0.14184301444040459</v>
      </c>
    </row>
    <row r="43" spans="2:11" x14ac:dyDescent="0.3">
      <c r="B43" s="37" t="s">
        <v>44</v>
      </c>
    </row>
    <row r="44" spans="2:11" x14ac:dyDescent="0.3">
      <c r="B44" s="37" t="s">
        <v>45</v>
      </c>
    </row>
    <row r="45" spans="2:11" x14ac:dyDescent="0.3">
      <c r="B45" s="37" t="s">
        <v>46</v>
      </c>
    </row>
    <row r="46" spans="2:11" x14ac:dyDescent="0.3">
      <c r="B46" s="37" t="s">
        <v>47</v>
      </c>
    </row>
    <row r="47" spans="2:11" x14ac:dyDescent="0.3">
      <c r="B47" s="37" t="s">
        <v>48</v>
      </c>
    </row>
  </sheetData>
  <mergeCells count="1">
    <mergeCell ref="P27:Q27"/>
  </mergeCells>
  <pageMargins left="0.7" right="0.7" top="0.75" bottom="0.75" header="0.3" footer="0.3"/>
  <ignoredErrors>
    <ignoredError sqref="I12:I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7FB4-ACEA-4778-8C11-469ABED245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7C3C-03CF-4960-8AD7-3337D1426394}">
  <dimension ref="B4:K42"/>
  <sheetViews>
    <sheetView topLeftCell="A11" workbookViewId="0">
      <selection activeCell="K26" sqref="K26"/>
    </sheetView>
  </sheetViews>
  <sheetFormatPr defaultRowHeight="14.4" x14ac:dyDescent="0.3"/>
  <cols>
    <col min="6" max="6" width="18.77734375" bestFit="1" customWidth="1"/>
    <col min="11" max="11" width="19.77734375" bestFit="1" customWidth="1"/>
  </cols>
  <sheetData>
    <row r="4" spans="2:11" x14ac:dyDescent="0.3">
      <c r="B4" s="3" t="s">
        <v>0</v>
      </c>
      <c r="C4" s="2"/>
      <c r="D4" s="2"/>
      <c r="E4" s="2"/>
      <c r="F4" s="2"/>
      <c r="G4" s="2"/>
      <c r="H4" s="2"/>
      <c r="I4" s="2"/>
      <c r="J4" s="2"/>
    </row>
    <row r="6" spans="2:11" x14ac:dyDescent="0.3">
      <c r="B6" s="13" t="s">
        <v>1</v>
      </c>
    </row>
    <row r="8" spans="2:11" ht="15" thickBot="1" x14ac:dyDescent="0.35">
      <c r="B8" t="s">
        <v>2</v>
      </c>
    </row>
    <row r="9" spans="2:11" ht="15" thickTop="1" x14ac:dyDescent="0.3">
      <c r="B9" s="5"/>
      <c r="C9" s="5"/>
      <c r="D9" s="5"/>
      <c r="E9" s="5"/>
      <c r="F9" s="5"/>
      <c r="G9" s="5"/>
      <c r="H9" s="5" t="s">
        <v>8</v>
      </c>
      <c r="I9" s="5" t="s">
        <v>10</v>
      </c>
      <c r="J9" s="5" t="s">
        <v>12</v>
      </c>
      <c r="K9" t="s">
        <v>49</v>
      </c>
    </row>
    <row r="10" spans="2:11" ht="16.8" thickBot="1" x14ac:dyDescent="0.35">
      <c r="B10" s="6" t="s">
        <v>3</v>
      </c>
      <c r="C10" s="6"/>
      <c r="D10" s="6" t="s">
        <v>4</v>
      </c>
      <c r="E10" s="6" t="s">
        <v>5</v>
      </c>
      <c r="F10" s="6" t="s">
        <v>6</v>
      </c>
      <c r="G10" s="6" t="s">
        <v>7</v>
      </c>
      <c r="H10" s="6" t="s">
        <v>9</v>
      </c>
      <c r="I10" s="6" t="s">
        <v>11</v>
      </c>
      <c r="J10" s="6" t="s">
        <v>15</v>
      </c>
      <c r="K10" t="s">
        <v>50</v>
      </c>
    </row>
    <row r="11" spans="2:11" ht="15" thickTop="1" x14ac:dyDescent="0.3"/>
    <row r="12" spans="2:11" x14ac:dyDescent="0.3">
      <c r="B12" t="s">
        <v>16</v>
      </c>
      <c r="D12" s="11" t="s">
        <v>17</v>
      </c>
      <c r="E12" s="11">
        <v>1139</v>
      </c>
      <c r="F12" s="11">
        <v>611503.9</v>
      </c>
      <c r="G12" s="12">
        <v>0.3</v>
      </c>
      <c r="H12" s="8">
        <f>$E12/F12</f>
        <v>1.8626209906429051E-3</v>
      </c>
      <c r="I12" s="8">
        <f>E12/SUM(E12:F12)</f>
        <v>1.8591580837711494E-3</v>
      </c>
      <c r="J12" s="10">
        <v>1</v>
      </c>
      <c r="K12" s="9">
        <f>J12/(1+(1-G12)*H12)</f>
        <v>0.99869786307784481</v>
      </c>
    </row>
    <row r="13" spans="2:11" x14ac:dyDescent="0.3">
      <c r="B13" t="s">
        <v>18</v>
      </c>
      <c r="D13" s="11" t="s">
        <v>17</v>
      </c>
      <c r="E13" s="11">
        <v>279.89999999999998</v>
      </c>
      <c r="F13" s="11">
        <v>182975</v>
      </c>
      <c r="G13" s="12">
        <v>0.3</v>
      </c>
      <c r="H13" s="8">
        <f t="shared" ref="H13:H16" si="0">$E13/F13</f>
        <v>1.5297171744773875E-3</v>
      </c>
      <c r="I13" s="8">
        <f t="shared" ref="I13:I15" si="1">E13/SUM(E13:F13)</f>
        <v>1.5273807139672662E-3</v>
      </c>
      <c r="J13" s="10">
        <v>1</v>
      </c>
      <c r="K13" s="9">
        <f t="shared" ref="K13:K16" si="2">J13/(1+(1-G13)*H13)</f>
        <v>0.99893034336834996</v>
      </c>
    </row>
    <row r="14" spans="2:11" x14ac:dyDescent="0.3">
      <c r="B14" t="s">
        <v>19</v>
      </c>
      <c r="D14" s="11" t="s">
        <v>17</v>
      </c>
      <c r="E14" s="11">
        <v>3037.7</v>
      </c>
      <c r="F14" s="11">
        <v>110690</v>
      </c>
      <c r="G14" s="12">
        <v>0.3</v>
      </c>
      <c r="H14" s="8">
        <f t="shared" si="0"/>
        <v>2.7443310145451257E-2</v>
      </c>
      <c r="I14" s="8">
        <f t="shared" si="1"/>
        <v>2.6710291336235585E-2</v>
      </c>
      <c r="J14" s="10">
        <v>1</v>
      </c>
      <c r="K14" s="9">
        <f t="shared" si="2"/>
        <v>0.98115176349819389</v>
      </c>
    </row>
    <row r="15" spans="2:11" x14ac:dyDescent="0.3">
      <c r="B15" t="s">
        <v>20</v>
      </c>
      <c r="D15" s="11" t="s">
        <v>17</v>
      </c>
      <c r="E15" s="11">
        <v>1164.5</v>
      </c>
      <c r="F15" s="11">
        <v>96256.4</v>
      </c>
      <c r="G15" s="12">
        <v>0.3</v>
      </c>
      <c r="H15" s="8">
        <f t="shared" si="0"/>
        <v>1.2097896867117408E-2</v>
      </c>
      <c r="I15" s="8">
        <f t="shared" si="1"/>
        <v>1.1953287230974052E-2</v>
      </c>
      <c r="J15" s="10">
        <v>1</v>
      </c>
      <c r="K15" s="9">
        <f t="shared" si="2"/>
        <v>0.99160258592759665</v>
      </c>
    </row>
    <row r="16" spans="2:11" x14ac:dyDescent="0.3">
      <c r="B16" t="s">
        <v>21</v>
      </c>
      <c r="D16" s="11" t="s">
        <v>17</v>
      </c>
      <c r="E16" s="11">
        <v>1068.0999999999999</v>
      </c>
      <c r="F16" s="11">
        <v>94940.4</v>
      </c>
      <c r="G16" s="12">
        <v>0.3</v>
      </c>
      <c r="H16" s="8">
        <f t="shared" si="0"/>
        <v>1.1250215924938172E-2</v>
      </c>
      <c r="I16" s="8">
        <f>E16/SUM(E16:F16)</f>
        <v>1.1125056635610388E-2</v>
      </c>
      <c r="J16" s="10">
        <v>1</v>
      </c>
      <c r="K16" s="9">
        <f t="shared" si="2"/>
        <v>0.9921863822731507</v>
      </c>
    </row>
    <row r="18" spans="2:11" x14ac:dyDescent="0.3">
      <c r="F18" t="s">
        <v>22</v>
      </c>
      <c r="G18" s="4">
        <f>AVERAGE(G12:G16)</f>
        <v>0.3</v>
      </c>
      <c r="H18" s="4">
        <f t="shared" ref="H18:K18" si="3">AVERAGE(H12:H16)</f>
        <v>1.0836752220525426E-2</v>
      </c>
      <c r="I18" s="4">
        <f t="shared" si="3"/>
        <v>1.063503480011169E-2</v>
      </c>
      <c r="J18" s="9">
        <f t="shared" si="3"/>
        <v>1</v>
      </c>
      <c r="K18" s="9">
        <f t="shared" si="3"/>
        <v>0.9925137876290272</v>
      </c>
    </row>
    <row r="19" spans="2:11" x14ac:dyDescent="0.3">
      <c r="F19" t="s">
        <v>23</v>
      </c>
      <c r="G19" s="4">
        <f>MEDIAN(G12:G16)</f>
        <v>0.3</v>
      </c>
      <c r="H19" s="4">
        <f t="shared" ref="H19:K19" si="4">MEDIAN(H12:H16)</f>
        <v>1.1250215924938172E-2</v>
      </c>
      <c r="I19" s="4">
        <f t="shared" si="4"/>
        <v>1.1125056635610388E-2</v>
      </c>
      <c r="J19" s="9">
        <f t="shared" si="4"/>
        <v>1</v>
      </c>
      <c r="K19" s="9">
        <f t="shared" si="4"/>
        <v>0.9921863822731507</v>
      </c>
    </row>
    <row r="22" spans="2:11" x14ac:dyDescent="0.3">
      <c r="B22" t="s">
        <v>24</v>
      </c>
      <c r="H22" t="s">
        <v>28</v>
      </c>
    </row>
    <row r="24" spans="2:11" x14ac:dyDescent="0.3">
      <c r="B24" t="s">
        <v>51</v>
      </c>
      <c r="D24" s="24">
        <v>0.08</v>
      </c>
      <c r="H24" t="s">
        <v>29</v>
      </c>
      <c r="K24" s="24">
        <v>0.04</v>
      </c>
    </row>
    <row r="25" spans="2:11" x14ac:dyDescent="0.3">
      <c r="B25" t="s">
        <v>26</v>
      </c>
      <c r="D25" s="24">
        <v>0.3</v>
      </c>
      <c r="H25" t="s">
        <v>52</v>
      </c>
      <c r="K25" s="24">
        <v>0.08</v>
      </c>
    </row>
    <row r="26" spans="2:11" x14ac:dyDescent="0.3">
      <c r="B26" t="s">
        <v>27</v>
      </c>
      <c r="D26" s="29">
        <f>D24*(1-D25)</f>
        <v>5.5999999999999994E-2</v>
      </c>
      <c r="H26" t="s">
        <v>38</v>
      </c>
      <c r="K26">
        <f>K35</f>
        <v>1.4552066940006212</v>
      </c>
    </row>
    <row r="27" spans="2:11" x14ac:dyDescent="0.3">
      <c r="H27" t="s">
        <v>55</v>
      </c>
      <c r="K27" s="38">
        <f>K24+K25*K26</f>
        <v>0.15641653552004969</v>
      </c>
    </row>
    <row r="29" spans="2:11" x14ac:dyDescent="0.3">
      <c r="B29" t="s">
        <v>32</v>
      </c>
    </row>
    <row r="30" spans="2:11" x14ac:dyDescent="0.3">
      <c r="E30" t="s">
        <v>33</v>
      </c>
      <c r="F30" t="s">
        <v>34</v>
      </c>
    </row>
    <row r="31" spans="2:11" x14ac:dyDescent="0.3">
      <c r="B31" t="s">
        <v>42</v>
      </c>
      <c r="D31">
        <v>10000</v>
      </c>
      <c r="E31" s="7">
        <f>D31/D33</f>
        <v>0.33333333333333331</v>
      </c>
      <c r="F31" s="24">
        <v>0.4</v>
      </c>
      <c r="H31" t="s">
        <v>53</v>
      </c>
      <c r="K31" s="9">
        <f>K19</f>
        <v>0.9921863822731507</v>
      </c>
    </row>
    <row r="32" spans="2:11" x14ac:dyDescent="0.3">
      <c r="B32" t="s">
        <v>9</v>
      </c>
      <c r="D32">
        <v>20000</v>
      </c>
      <c r="E32" s="7">
        <f>D32/D33</f>
        <v>0.66666666666666663</v>
      </c>
      <c r="F32" s="24">
        <v>0.6</v>
      </c>
      <c r="H32" t="s">
        <v>26</v>
      </c>
      <c r="K32" s="4">
        <f>G12</f>
        <v>0.3</v>
      </c>
    </row>
    <row r="33" spans="4:11" x14ac:dyDescent="0.3">
      <c r="D33" s="9">
        <f>SUM(D32,D31)</f>
        <v>30000</v>
      </c>
      <c r="E33" s="24">
        <f>SUM(E31:E32)</f>
        <v>1</v>
      </c>
      <c r="F33" s="7">
        <f>F32+F31</f>
        <v>1</v>
      </c>
      <c r="H33" t="s">
        <v>54</v>
      </c>
      <c r="K33" s="39">
        <f>F31/F32</f>
        <v>0.66666666666666674</v>
      </c>
    </row>
    <row r="35" spans="4:11" x14ac:dyDescent="0.3">
      <c r="H35" t="s">
        <v>38</v>
      </c>
      <c r="K35">
        <f>K31*(1+(1-K32)*K33)</f>
        <v>1.4552066940006212</v>
      </c>
    </row>
    <row r="38" spans="4:11" x14ac:dyDescent="0.3">
      <c r="E38" t="s">
        <v>56</v>
      </c>
    </row>
    <row r="39" spans="4:11" x14ac:dyDescent="0.3">
      <c r="F39" t="s">
        <v>57</v>
      </c>
      <c r="G39" t="s">
        <v>58</v>
      </c>
    </row>
    <row r="40" spans="4:11" x14ac:dyDescent="0.3">
      <c r="E40" t="s">
        <v>42</v>
      </c>
      <c r="F40" s="29">
        <f>D26</f>
        <v>5.5999999999999994E-2</v>
      </c>
      <c r="G40" s="24">
        <f>Practise!F31</f>
        <v>0.4</v>
      </c>
    </row>
    <row r="41" spans="4:11" x14ac:dyDescent="0.3">
      <c r="E41" t="s">
        <v>9</v>
      </c>
      <c r="F41" s="38">
        <f>K27</f>
        <v>0.15641653552004969</v>
      </c>
      <c r="G41" s="24">
        <f>F32</f>
        <v>0.6</v>
      </c>
    </row>
    <row r="42" spans="4:11" x14ac:dyDescent="0.3">
      <c r="E42" t="s">
        <v>56</v>
      </c>
      <c r="F42" s="7">
        <f>SUMPRODUCT(F40:G40,F41:G41)</f>
        <v>0.24875932598912276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F66E-88B5-4E6C-A561-C4836D4EED49}">
  <dimension ref="C2:W131"/>
  <sheetViews>
    <sheetView tabSelected="1" topLeftCell="A6" zoomScaleNormal="100" workbookViewId="0">
      <selection activeCell="L8" sqref="L8"/>
    </sheetView>
  </sheetViews>
  <sheetFormatPr defaultRowHeight="14.4" x14ac:dyDescent="0.3"/>
  <cols>
    <col min="1" max="1" width="1.77734375" customWidth="1"/>
    <col min="3" max="3" width="16.5546875" customWidth="1"/>
    <col min="4" max="4" width="13.21875" customWidth="1"/>
    <col min="5" max="5" width="22.44140625" customWidth="1"/>
    <col min="7" max="7" width="13.88671875" customWidth="1"/>
    <col min="8" max="9" width="15.5546875" customWidth="1"/>
    <col min="10" max="10" width="16.88671875" bestFit="1" customWidth="1"/>
    <col min="11" max="11" width="15.5546875" customWidth="1"/>
    <col min="12" max="12" width="10.33203125" bestFit="1" customWidth="1"/>
    <col min="14" max="14" width="17.6640625" customWidth="1"/>
    <col min="15" max="15" width="10.33203125" bestFit="1" customWidth="1"/>
    <col min="17" max="17" width="11.33203125" bestFit="1" customWidth="1"/>
  </cols>
  <sheetData>
    <row r="2" spans="3:20" x14ac:dyDescent="0.3">
      <c r="C2" s="69" t="s">
        <v>60</v>
      </c>
      <c r="D2" s="69"/>
      <c r="E2" s="69"/>
      <c r="F2" s="69"/>
      <c r="G2" s="69"/>
      <c r="H2" s="69"/>
      <c r="I2" s="69"/>
      <c r="J2" s="69"/>
      <c r="K2" s="69"/>
    </row>
    <row r="3" spans="3:20" x14ac:dyDescent="0.3">
      <c r="C3" s="69"/>
      <c r="D3" s="69"/>
      <c r="E3" s="69"/>
      <c r="F3" s="69"/>
      <c r="G3" s="69"/>
      <c r="H3" s="69"/>
      <c r="I3" s="69"/>
      <c r="J3" s="69"/>
      <c r="K3" s="69"/>
    </row>
    <row r="4" spans="3:20" x14ac:dyDescent="0.3">
      <c r="C4" s="69"/>
      <c r="D4" s="69"/>
      <c r="E4" s="69"/>
      <c r="F4" s="69"/>
      <c r="G4" s="69"/>
      <c r="H4" s="69"/>
      <c r="I4" s="69"/>
      <c r="J4" s="69"/>
      <c r="K4" s="69"/>
    </row>
    <row r="6" spans="3:20" ht="15" customHeight="1" x14ac:dyDescent="0.6">
      <c r="C6" s="68" t="s">
        <v>103</v>
      </c>
      <c r="D6" s="68"/>
      <c r="E6" s="68"/>
      <c r="F6" s="46"/>
      <c r="G6" s="67" t="s">
        <v>61</v>
      </c>
      <c r="H6" s="67"/>
      <c r="I6" s="67"/>
      <c r="K6" s="67" t="s">
        <v>98</v>
      </c>
      <c r="L6" s="67"/>
      <c r="M6" s="67"/>
      <c r="N6" s="48"/>
      <c r="O6" t="s">
        <v>62</v>
      </c>
    </row>
    <row r="7" spans="3:20" ht="15" thickBot="1" x14ac:dyDescent="0.35">
      <c r="C7" t="s">
        <v>93</v>
      </c>
      <c r="D7" t="s">
        <v>94</v>
      </c>
      <c r="E7" t="s">
        <v>95</v>
      </c>
      <c r="G7" t="s">
        <v>59</v>
      </c>
      <c r="H7" t="s">
        <v>96</v>
      </c>
      <c r="I7" t="s">
        <v>97</v>
      </c>
      <c r="N7" s="49"/>
    </row>
    <row r="8" spans="3:20" x14ac:dyDescent="0.3">
      <c r="C8" s="56">
        <v>44636</v>
      </c>
      <c r="D8" s="52">
        <v>947.75</v>
      </c>
      <c r="E8" s="42"/>
      <c r="G8" s="54">
        <v>43796</v>
      </c>
      <c r="H8" s="44">
        <v>12056.05</v>
      </c>
      <c r="K8" t="s">
        <v>50</v>
      </c>
      <c r="L8" s="47">
        <f>SLOPE(E9:E39,I37:I67)</f>
        <v>0.5159219639830892</v>
      </c>
      <c r="N8" s="50"/>
      <c r="O8" s="59" t="s">
        <v>63</v>
      </c>
      <c r="P8" s="59"/>
    </row>
    <row r="9" spans="3:20" x14ac:dyDescent="0.3">
      <c r="C9" s="56">
        <v>44666</v>
      </c>
      <c r="D9" s="44">
        <v>1072.83</v>
      </c>
      <c r="E9" s="42">
        <f>Table1[[#This Row],[Adj Closing]]/D8 - 1</f>
        <v>0.13197573199683443</v>
      </c>
      <c r="G9" s="54">
        <v>43826</v>
      </c>
      <c r="H9" s="44">
        <v>12168.45</v>
      </c>
      <c r="I9" s="45">
        <f>Table3[[#This Row],[Closing]]/H8 -1</f>
        <v>9.3231199273395848E-3</v>
      </c>
      <c r="K9" t="s">
        <v>92</v>
      </c>
      <c r="L9" s="47">
        <f>_xlfn.COVARIANCE.S(E9:E39,I37:I67)/_xlfn.VAR.S(I37:I67)</f>
        <v>0.51592196398308932</v>
      </c>
      <c r="N9" s="50"/>
      <c r="O9" t="s">
        <v>64</v>
      </c>
      <c r="P9">
        <v>0.21602797449964597</v>
      </c>
    </row>
    <row r="10" spans="3:20" x14ac:dyDescent="0.3">
      <c r="C10" s="56">
        <v>44696</v>
      </c>
      <c r="D10" s="52">
        <v>986.73</v>
      </c>
      <c r="E10" s="42">
        <f>Table1[[#This Row],[Adj Closing]]/D9 - 1</f>
        <v>-8.0255026425435472E-2</v>
      </c>
      <c r="G10" s="54">
        <v>43856</v>
      </c>
      <c r="H10" s="44">
        <v>11962.1</v>
      </c>
      <c r="I10" s="45">
        <f>Table3[[#This Row],[Closing]]/H9 -1</f>
        <v>-1.6957788378963667E-2</v>
      </c>
      <c r="L10" s="53"/>
      <c r="N10" s="50"/>
      <c r="O10" t="s">
        <v>65</v>
      </c>
      <c r="P10">
        <v>4.666808576641969E-2</v>
      </c>
    </row>
    <row r="11" spans="3:20" ht="13.95" customHeight="1" x14ac:dyDescent="0.3">
      <c r="C11" s="56">
        <v>44726</v>
      </c>
      <c r="D11" s="52">
        <v>949.62</v>
      </c>
      <c r="E11" s="42">
        <f>Table1[[#This Row],[Adj Closing]]/D10 - 1</f>
        <v>-3.760907239062361E-2</v>
      </c>
      <c r="G11" s="54">
        <v>43886</v>
      </c>
      <c r="H11" s="44">
        <v>11201.75</v>
      </c>
      <c r="I11" s="45">
        <f>Table3[[#This Row],[Closing]]/H10 -1</f>
        <v>-6.3563253943705544E-2</v>
      </c>
      <c r="K11" s="67" t="s">
        <v>99</v>
      </c>
      <c r="L11" s="67"/>
      <c r="M11" s="67"/>
      <c r="N11" s="50"/>
      <c r="O11" t="s">
        <v>66</v>
      </c>
      <c r="P11">
        <v>1.3794571482503128E-2</v>
      </c>
    </row>
    <row r="12" spans="3:20" x14ac:dyDescent="0.3">
      <c r="C12" s="56">
        <v>44756</v>
      </c>
      <c r="D12" s="44">
        <v>1057.26</v>
      </c>
      <c r="E12" s="42">
        <f>Table1[[#This Row],[Adj Closing]]/D11 - 1</f>
        <v>0.1133506033992544</v>
      </c>
      <c r="G12" s="54">
        <v>43916</v>
      </c>
      <c r="H12" s="44">
        <v>8597.75</v>
      </c>
      <c r="I12" s="45">
        <f>Table3[[#This Row],[Closing]]/H11 -1</f>
        <v>-0.23246367755038277</v>
      </c>
      <c r="L12" s="53"/>
      <c r="N12" s="50"/>
      <c r="O12" t="s">
        <v>67</v>
      </c>
      <c r="P12">
        <v>8.4429873965852276E-2</v>
      </c>
    </row>
    <row r="13" spans="3:20" ht="15" thickBot="1" x14ac:dyDescent="0.35">
      <c r="C13" s="56">
        <v>44786</v>
      </c>
      <c r="D13" s="44">
        <v>1264.9000000000001</v>
      </c>
      <c r="E13" s="42">
        <f>Table1[[#This Row],[Adj Closing]]/D12 - 1</f>
        <v>0.19639445358757546</v>
      </c>
      <c r="G13" s="54">
        <v>43946</v>
      </c>
      <c r="H13" s="44">
        <v>9859.9</v>
      </c>
      <c r="I13" s="45">
        <f>Table3[[#This Row],[Closing]]/H12 -1</f>
        <v>0.14680003489284976</v>
      </c>
      <c r="K13" t="s">
        <v>87</v>
      </c>
      <c r="L13" s="53"/>
      <c r="M13" s="9">
        <f>L8</f>
        <v>0.5159219639830892</v>
      </c>
      <c r="N13" s="50"/>
      <c r="O13" s="57" t="s">
        <v>68</v>
      </c>
      <c r="P13" s="57">
        <v>31</v>
      </c>
    </row>
    <row r="14" spans="3:20" x14ac:dyDescent="0.3">
      <c r="C14" s="56">
        <v>44816</v>
      </c>
      <c r="D14" s="44">
        <v>1386.71</v>
      </c>
      <c r="E14" s="42">
        <f>Table1[[#This Row],[Adj Closing]]/D13 - 1</f>
        <v>9.6300102774922847E-2</v>
      </c>
      <c r="G14" s="54">
        <v>43976</v>
      </c>
      <c r="H14" s="44">
        <v>9580.2999999999993</v>
      </c>
      <c r="I14" s="45">
        <f>Table3[[#This Row],[Closing]]/H13 -1</f>
        <v>-2.8357285570847601E-2</v>
      </c>
      <c r="K14" t="s">
        <v>90</v>
      </c>
      <c r="L14" s="53"/>
      <c r="M14" s="7">
        <v>0.75</v>
      </c>
      <c r="N14" s="50"/>
    </row>
    <row r="15" spans="3:20" ht="15" thickBot="1" x14ac:dyDescent="0.35">
      <c r="C15" s="56">
        <v>44846</v>
      </c>
      <c r="D15" s="44">
        <v>1427.96</v>
      </c>
      <c r="E15" s="42">
        <f>Table1[[#This Row],[Adj Closing]]/D14 - 1</f>
        <v>2.9746666570515723E-2</v>
      </c>
      <c r="G15" s="54">
        <v>44006</v>
      </c>
      <c r="H15" s="44">
        <v>10302.1</v>
      </c>
      <c r="I15" s="45">
        <f>Table3[[#This Row],[Closing]]/H14 -1</f>
        <v>7.5342108284709441E-2</v>
      </c>
      <c r="J15" s="45"/>
      <c r="K15" s="45"/>
      <c r="L15" s="53"/>
      <c r="N15" s="50"/>
      <c r="O15" t="s">
        <v>69</v>
      </c>
    </row>
    <row r="16" spans="3:20" x14ac:dyDescent="0.3">
      <c r="C16" s="56">
        <v>44876</v>
      </c>
      <c r="D16" s="44">
        <v>1344.87</v>
      </c>
      <c r="E16" s="42">
        <f>Table1[[#This Row],[Adj Closing]]/D15 - 1</f>
        <v>-5.8187904423093184E-2</v>
      </c>
      <c r="G16" s="54">
        <v>44036</v>
      </c>
      <c r="H16" s="44">
        <v>11073.45</v>
      </c>
      <c r="I16" s="45">
        <f>Table3[[#This Row],[Closing]]/H15 -1</f>
        <v>7.4873084128478595E-2</v>
      </c>
      <c r="J16" s="45"/>
      <c r="K16" s="45" t="s">
        <v>89</v>
      </c>
      <c r="L16" s="53"/>
      <c r="M16">
        <v>1</v>
      </c>
      <c r="N16" s="50"/>
      <c r="O16" s="58"/>
      <c r="P16" s="58" t="s">
        <v>74</v>
      </c>
      <c r="Q16" s="58" t="s">
        <v>75</v>
      </c>
      <c r="R16" s="58" t="s">
        <v>76</v>
      </c>
      <c r="S16" s="58" t="s">
        <v>77</v>
      </c>
      <c r="T16" s="58" t="s">
        <v>78</v>
      </c>
    </row>
    <row r="17" spans="3:23" x14ac:dyDescent="0.3">
      <c r="C17" s="56">
        <v>44906</v>
      </c>
      <c r="D17" s="44">
        <v>1316.29</v>
      </c>
      <c r="E17" s="42">
        <f>Table1[[#This Row],[Adj Closing]]/D16 - 1</f>
        <v>-2.1251124644017572E-2</v>
      </c>
      <c r="G17" s="54">
        <v>44066</v>
      </c>
      <c r="H17" s="44">
        <v>11387.5</v>
      </c>
      <c r="I17" s="45">
        <f>Table3[[#This Row],[Closing]]/H16 -1</f>
        <v>2.8360628349791472E-2</v>
      </c>
      <c r="J17" s="45"/>
      <c r="K17" s="45" t="s">
        <v>100</v>
      </c>
      <c r="L17" s="53"/>
      <c r="M17" s="7">
        <f>1-M14</f>
        <v>0.25</v>
      </c>
      <c r="N17" s="50"/>
      <c r="O17" t="s">
        <v>70</v>
      </c>
      <c r="P17">
        <v>1</v>
      </c>
      <c r="Q17">
        <v>1.0119664984528043E-2</v>
      </c>
      <c r="R17">
        <v>1.0119664984528043E-2</v>
      </c>
      <c r="S17">
        <v>1.4196257012062794</v>
      </c>
      <c r="T17">
        <v>0.2431252729677898</v>
      </c>
    </row>
    <row r="18" spans="3:23" x14ac:dyDescent="0.3">
      <c r="C18" s="56">
        <v>44936</v>
      </c>
      <c r="D18" s="44">
        <v>1174.1099999999999</v>
      </c>
      <c r="E18" s="42">
        <f>Table1[[#This Row],[Adj Closing]]/D17 - 1</f>
        <v>-0.10801571082360273</v>
      </c>
      <c r="G18" s="54">
        <v>44096</v>
      </c>
      <c r="H18" s="44">
        <v>11247.55</v>
      </c>
      <c r="I18" s="45">
        <f>Table3[[#This Row],[Closing]]/H17 -1</f>
        <v>-1.2289791437980258E-2</v>
      </c>
      <c r="J18" s="45"/>
      <c r="K18" s="45"/>
      <c r="L18" s="53"/>
      <c r="N18" s="50"/>
      <c r="O18" t="s">
        <v>71</v>
      </c>
      <c r="P18">
        <v>29</v>
      </c>
      <c r="Q18">
        <v>0.20672370491880127</v>
      </c>
      <c r="R18">
        <v>7.1284036178896988E-3</v>
      </c>
    </row>
    <row r="19" spans="3:23" ht="15" thickBot="1" x14ac:dyDescent="0.35">
      <c r="C19" s="56">
        <v>44966</v>
      </c>
      <c r="D19" s="44">
        <v>1180.1300000000001</v>
      </c>
      <c r="E19" s="42">
        <f>Table1[[#This Row],[Adj Closing]]/D18 - 1</f>
        <v>5.1272879031778462E-3</v>
      </c>
      <c r="G19" s="54">
        <v>44126</v>
      </c>
      <c r="H19" s="44">
        <v>11642.4</v>
      </c>
      <c r="I19" s="45">
        <f>Table3[[#This Row],[Closing]]/H18 -1</f>
        <v>3.5105422958777721E-2</v>
      </c>
      <c r="J19" s="45"/>
      <c r="K19" s="45" t="s">
        <v>91</v>
      </c>
      <c r="L19" s="53"/>
      <c r="M19" s="9">
        <f>SUMPRODUCT(M16:M17,M13:M14)</f>
        <v>0.7034219639830892</v>
      </c>
      <c r="N19" s="50"/>
      <c r="O19" s="57" t="s">
        <v>72</v>
      </c>
      <c r="P19" s="57">
        <v>30</v>
      </c>
      <c r="Q19" s="57">
        <v>0.21684336990332931</v>
      </c>
      <c r="R19" s="57"/>
      <c r="S19" s="57"/>
      <c r="T19" s="57"/>
    </row>
    <row r="20" spans="3:23" ht="15" thickBot="1" x14ac:dyDescent="0.35">
      <c r="C20" s="56">
        <v>44996</v>
      </c>
      <c r="D20" s="44">
        <v>1122.57</v>
      </c>
      <c r="E20" s="42">
        <f>Table1[[#This Row],[Adj Closing]]/D19 - 1</f>
        <v>-4.877428757848723E-2</v>
      </c>
      <c r="G20" s="54">
        <v>44156</v>
      </c>
      <c r="H20" s="44">
        <v>12968.95</v>
      </c>
      <c r="I20" s="45">
        <f>Table3[[#This Row],[Closing]]/H19 -1</f>
        <v>0.11394128358414091</v>
      </c>
      <c r="J20" s="45"/>
      <c r="K20" s="45"/>
      <c r="L20" s="53"/>
      <c r="N20" s="50"/>
    </row>
    <row r="21" spans="3:23" x14ac:dyDescent="0.3">
      <c r="C21" s="56">
        <v>45026</v>
      </c>
      <c r="D21" s="44">
        <v>1254.25</v>
      </c>
      <c r="E21" s="42">
        <f>Table1[[#This Row],[Adj Closing]]/D20 - 1</f>
        <v>0.11730226177432157</v>
      </c>
      <c r="G21" s="54">
        <v>44186</v>
      </c>
      <c r="H21" s="44">
        <v>13981.75</v>
      </c>
      <c r="I21" s="45">
        <f>Table3[[#This Row],[Closing]]/H20 -1</f>
        <v>7.8094217342190353E-2</v>
      </c>
      <c r="J21" s="45"/>
      <c r="K21" s="45"/>
      <c r="L21" s="53"/>
      <c r="N21" s="50"/>
      <c r="O21" s="58"/>
      <c r="P21" s="58" t="s">
        <v>79</v>
      </c>
      <c r="Q21" s="58" t="s">
        <v>67</v>
      </c>
      <c r="R21" s="58" t="s">
        <v>80</v>
      </c>
      <c r="S21" s="58" t="s">
        <v>81</v>
      </c>
      <c r="T21" s="58" t="s">
        <v>82</v>
      </c>
      <c r="U21" s="58" t="s">
        <v>83</v>
      </c>
      <c r="V21" s="58" t="s">
        <v>84</v>
      </c>
      <c r="W21" s="58" t="s">
        <v>85</v>
      </c>
    </row>
    <row r="22" spans="3:23" x14ac:dyDescent="0.3">
      <c r="C22" s="56">
        <v>45056</v>
      </c>
      <c r="D22" s="44">
        <v>1265.68</v>
      </c>
      <c r="E22" s="42">
        <f>Table1[[#This Row],[Adj Closing]]/D21 - 1</f>
        <v>9.1130157464620609E-3</v>
      </c>
      <c r="G22" s="54">
        <v>44216</v>
      </c>
      <c r="H22" s="44">
        <v>13634.6</v>
      </c>
      <c r="I22" s="45">
        <f>Table3[[#This Row],[Closing]]/H21 -1</f>
        <v>-2.4828794678777633E-2</v>
      </c>
      <c r="J22" s="45"/>
      <c r="K22" s="45"/>
      <c r="L22" s="53"/>
      <c r="N22" s="50"/>
      <c r="O22" t="s">
        <v>73</v>
      </c>
      <c r="P22">
        <v>8.3361166823856525E-3</v>
      </c>
      <c r="Q22">
        <v>1.621555006768045E-2</v>
      </c>
      <c r="R22">
        <v>0.51408164678918544</v>
      </c>
      <c r="S22">
        <v>0.61109031252459567</v>
      </c>
      <c r="T22">
        <v>-2.4828406979521392E-2</v>
      </c>
      <c r="U22">
        <v>4.1500640344292697E-2</v>
      </c>
      <c r="V22">
        <v>-2.4828406979521392E-2</v>
      </c>
      <c r="W22">
        <v>4.1500640344292697E-2</v>
      </c>
    </row>
    <row r="23" spans="3:23" ht="15" thickBot="1" x14ac:dyDescent="0.35">
      <c r="C23" s="56">
        <v>45086</v>
      </c>
      <c r="D23" s="44">
        <v>1220</v>
      </c>
      <c r="E23" s="42">
        <f>Table1[[#This Row],[Adj Closing]]/D22 - 1</f>
        <v>-3.6091271095379573E-2</v>
      </c>
      <c r="G23" s="54">
        <v>44246</v>
      </c>
      <c r="H23" s="44">
        <v>14529.15</v>
      </c>
      <c r="I23" s="45">
        <f>Table3[[#This Row],[Closing]]/H22 -1</f>
        <v>6.5608818740557018E-2</v>
      </c>
      <c r="J23" s="45"/>
      <c r="K23" s="45"/>
      <c r="L23" s="53"/>
      <c r="N23" s="50"/>
      <c r="O23" s="57" t="s">
        <v>86</v>
      </c>
      <c r="P23" s="57">
        <v>0.51592196398308865</v>
      </c>
      <c r="Q23" s="57">
        <v>0.43300916686626451</v>
      </c>
      <c r="R23" s="57">
        <v>1.1914804661454936</v>
      </c>
      <c r="S23" s="57">
        <v>0.24312527296778913</v>
      </c>
      <c r="T23" s="57">
        <v>-0.36968121940698218</v>
      </c>
      <c r="U23" s="57">
        <v>1.4015251473731594</v>
      </c>
      <c r="V23" s="57">
        <v>-0.36968121940698218</v>
      </c>
      <c r="W23" s="57">
        <v>1.4015251473731594</v>
      </c>
    </row>
    <row r="24" spans="3:23" x14ac:dyDescent="0.3">
      <c r="C24" s="56">
        <v>45116</v>
      </c>
      <c r="D24" s="44">
        <v>1222.9000000000001</v>
      </c>
      <c r="E24" s="42">
        <f>Table1[[#This Row],[Adj Closing]]/D23 - 1</f>
        <v>2.3770491803278837E-3</v>
      </c>
      <c r="G24" s="54">
        <v>44276</v>
      </c>
      <c r="H24" s="44">
        <v>14690.7</v>
      </c>
      <c r="I24" s="45">
        <f>Table3[[#This Row],[Closing]]/H23 -1</f>
        <v>1.111902623346861E-2</v>
      </c>
      <c r="J24" s="45"/>
      <c r="K24" s="45"/>
      <c r="L24" s="53"/>
      <c r="N24" s="50"/>
    </row>
    <row r="25" spans="3:23" x14ac:dyDescent="0.3">
      <c r="C25" s="56">
        <v>45146</v>
      </c>
      <c r="D25" s="44">
        <v>1243.4000000000001</v>
      </c>
      <c r="E25" s="42">
        <f>Table1[[#This Row],[Adj Closing]]/D24 - 1</f>
        <v>1.6763431188159261E-2</v>
      </c>
      <c r="G25" s="54">
        <v>44306</v>
      </c>
      <c r="H25" s="44">
        <v>14631.1</v>
      </c>
      <c r="I25" s="45">
        <f>Table3[[#This Row],[Closing]]/H24 -1</f>
        <v>-4.0569884348601315E-3</v>
      </c>
      <c r="J25" s="45"/>
      <c r="K25" s="45"/>
      <c r="L25" s="53"/>
      <c r="N25" s="50"/>
    </row>
    <row r="26" spans="3:23" x14ac:dyDescent="0.3">
      <c r="C26" s="56">
        <v>45176</v>
      </c>
      <c r="D26" s="44">
        <v>1329.47</v>
      </c>
      <c r="E26" s="42">
        <f>Table1[[#This Row],[Adj Closing]]/D25 - 1</f>
        <v>6.9221489464371899E-2</v>
      </c>
      <c r="G26" s="54">
        <v>44336</v>
      </c>
      <c r="H26" s="44">
        <v>15582.8</v>
      </c>
      <c r="I26" s="45">
        <f>Table3[[#This Row],[Closing]]/H25 -1</f>
        <v>6.5046373820150105E-2</v>
      </c>
      <c r="J26" s="45"/>
      <c r="K26" s="45"/>
      <c r="L26" s="53"/>
      <c r="N26" s="50"/>
    </row>
    <row r="27" spans="3:23" x14ac:dyDescent="0.3">
      <c r="C27" s="56">
        <v>45206</v>
      </c>
      <c r="D27" s="44">
        <v>1282.76</v>
      </c>
      <c r="E27" s="42">
        <f>Table1[[#This Row],[Adj Closing]]/D26 - 1</f>
        <v>-3.5134301638998999E-2</v>
      </c>
      <c r="G27" s="54">
        <v>44366</v>
      </c>
      <c r="H27" s="44">
        <v>15721.5</v>
      </c>
      <c r="I27" s="45">
        <f>Table3[[#This Row],[Closing]]/H26 -1</f>
        <v>8.9008393870164682E-3</v>
      </c>
      <c r="J27" s="45"/>
      <c r="K27" s="45"/>
      <c r="L27" s="53"/>
      <c r="N27" s="50"/>
      <c r="O27" s="44"/>
      <c r="P27" s="44"/>
      <c r="Q27" s="50"/>
      <c r="R27" s="44"/>
      <c r="S27" s="44"/>
      <c r="T27" s="44"/>
      <c r="U27" s="44"/>
      <c r="W27" s="51"/>
    </row>
    <row r="28" spans="3:23" x14ac:dyDescent="0.3">
      <c r="C28" s="56">
        <v>45236</v>
      </c>
      <c r="D28" s="44">
        <v>1361.73</v>
      </c>
      <c r="E28" s="42">
        <f>Table1[[#This Row],[Adj Closing]]/D27 - 1</f>
        <v>6.1562568212292224E-2</v>
      </c>
      <c r="G28" s="54">
        <v>44396</v>
      </c>
      <c r="H28" s="44">
        <v>15763.05</v>
      </c>
      <c r="I28" s="45">
        <f>Table3[[#This Row],[Closing]]/H27 -1</f>
        <v>2.6428775880162902E-3</v>
      </c>
      <c r="J28" s="45"/>
      <c r="K28" s="45"/>
      <c r="L28" s="53"/>
      <c r="N28" s="50"/>
      <c r="O28" s="44"/>
      <c r="P28" s="44"/>
      <c r="Q28" s="50"/>
      <c r="R28" s="44"/>
      <c r="S28" s="44"/>
      <c r="T28" s="44"/>
      <c r="U28" s="44"/>
      <c r="W28" s="51"/>
    </row>
    <row r="29" spans="3:23" x14ac:dyDescent="0.3">
      <c r="C29" s="56">
        <v>45266</v>
      </c>
      <c r="D29" s="44">
        <v>1257.25</v>
      </c>
      <c r="E29" s="42">
        <f>Table1[[#This Row],[Adj Closing]]/D28 - 1</f>
        <v>-7.672592951613022E-2</v>
      </c>
      <c r="G29" s="54">
        <v>44426</v>
      </c>
      <c r="H29" s="44">
        <v>17132.2</v>
      </c>
      <c r="I29" s="45">
        <f>Table3[[#This Row],[Closing]]/H28 -1</f>
        <v>8.6858190515160638E-2</v>
      </c>
      <c r="J29" s="45"/>
      <c r="K29" s="45"/>
      <c r="L29" s="53"/>
      <c r="N29" s="50"/>
      <c r="O29" s="44"/>
      <c r="P29" s="44"/>
      <c r="Q29" s="50"/>
      <c r="R29" s="44"/>
      <c r="S29" s="44"/>
      <c r="T29" s="44"/>
      <c r="U29" s="44"/>
      <c r="W29" s="51"/>
    </row>
    <row r="30" spans="3:23" x14ac:dyDescent="0.3">
      <c r="C30" s="56">
        <v>45296</v>
      </c>
      <c r="D30" s="52">
        <v>995.71</v>
      </c>
      <c r="E30" s="42">
        <f>Table1[[#This Row],[Adj Closing]]/D29 - 1</f>
        <v>-0.20802545237621795</v>
      </c>
      <c r="G30" s="54">
        <v>44456</v>
      </c>
      <c r="H30" s="44">
        <v>17618.150000000001</v>
      </c>
      <c r="I30" s="45">
        <f>Table3[[#This Row],[Closing]]/H29 -1</f>
        <v>2.8364716732235173E-2</v>
      </c>
      <c r="J30" s="45"/>
      <c r="K30" s="45"/>
      <c r="L30" s="53"/>
      <c r="N30" s="50"/>
      <c r="O30" s="44"/>
      <c r="P30" s="44"/>
      <c r="Q30" s="50"/>
      <c r="R30" s="44"/>
      <c r="S30" s="44"/>
      <c r="T30" s="44"/>
      <c r="U30" s="44"/>
      <c r="W30" s="51"/>
    </row>
    <row r="31" spans="3:23" x14ac:dyDescent="0.3">
      <c r="C31" s="56">
        <v>45326</v>
      </c>
      <c r="D31" s="44">
        <v>1022.17</v>
      </c>
      <c r="E31" s="42">
        <f>Table1[[#This Row],[Adj Closing]]/D30 - 1</f>
        <v>2.6574002470598712E-2</v>
      </c>
      <c r="G31" s="54">
        <v>44486</v>
      </c>
      <c r="H31" s="44">
        <v>17671.650000000001</v>
      </c>
      <c r="I31" s="45">
        <f>Table3[[#This Row],[Closing]]/H30 -1</f>
        <v>3.0366411910445201E-3</v>
      </c>
      <c r="J31" s="45"/>
      <c r="K31" s="45"/>
      <c r="L31" s="53"/>
      <c r="N31" s="50"/>
      <c r="O31" s="44"/>
      <c r="P31" s="44"/>
      <c r="Q31" s="50"/>
      <c r="R31" s="44"/>
      <c r="S31" s="44"/>
      <c r="T31" s="44"/>
      <c r="U31" s="44"/>
      <c r="W31" s="51"/>
    </row>
    <row r="32" spans="3:23" x14ac:dyDescent="0.3">
      <c r="C32" s="56">
        <v>45356</v>
      </c>
      <c r="D32" s="52">
        <v>921.6</v>
      </c>
      <c r="E32" s="42">
        <f>Table1[[#This Row],[Adj Closing]]/D31 - 1</f>
        <v>-9.8388722032538567E-2</v>
      </c>
      <c r="G32" s="54">
        <v>44516</v>
      </c>
      <c r="H32" s="44">
        <v>16983.2</v>
      </c>
      <c r="I32" s="45">
        <f>Table3[[#This Row],[Closing]]/H31 -1</f>
        <v>-3.8957878862471818E-2</v>
      </c>
      <c r="J32" s="45"/>
      <c r="K32" s="45"/>
      <c r="L32" s="53"/>
      <c r="N32" s="50"/>
      <c r="O32" s="44"/>
      <c r="P32" s="44"/>
      <c r="Q32" s="50"/>
      <c r="R32" s="44"/>
      <c r="S32" s="44"/>
      <c r="T32" s="44"/>
      <c r="U32" s="44"/>
      <c r="W32" s="51"/>
    </row>
    <row r="33" spans="3:23" x14ac:dyDescent="0.3">
      <c r="C33" s="56">
        <v>45386</v>
      </c>
      <c r="D33" s="52">
        <v>947.02</v>
      </c>
      <c r="E33" s="42">
        <f>Table1[[#This Row],[Adj Closing]]/D32 - 1</f>
        <v>2.7582465277777635E-2</v>
      </c>
      <c r="G33" s="54">
        <v>44546</v>
      </c>
      <c r="H33" s="44">
        <v>17354.05</v>
      </c>
      <c r="I33" s="45">
        <f>Table3[[#This Row],[Closing]]/H32 -1</f>
        <v>2.1836285270149247E-2</v>
      </c>
      <c r="J33" s="45"/>
      <c r="K33" s="45"/>
      <c r="L33" s="53"/>
      <c r="N33" s="50"/>
      <c r="O33" s="44"/>
      <c r="P33" s="44"/>
      <c r="Q33" s="50"/>
      <c r="R33" s="44"/>
      <c r="S33" s="44"/>
      <c r="T33" s="44"/>
      <c r="U33" s="44"/>
      <c r="W33" s="51"/>
    </row>
    <row r="34" spans="3:23" x14ac:dyDescent="0.3">
      <c r="C34" s="56">
        <v>45416</v>
      </c>
      <c r="D34" s="44">
        <v>1040.78</v>
      </c>
      <c r="E34" s="42">
        <f>Table1[[#This Row],[Adj Closing]]/D33 - 1</f>
        <v>9.9005300838419519E-2</v>
      </c>
      <c r="G34" s="54">
        <v>44576</v>
      </c>
      <c r="H34" s="44">
        <v>17339.849999999999</v>
      </c>
      <c r="I34" s="45">
        <f>Table3[[#This Row],[Closing]]/H33 -1</f>
        <v>-8.1825279977876253E-4</v>
      </c>
      <c r="J34" s="45"/>
      <c r="K34" s="45"/>
      <c r="L34" s="53"/>
      <c r="N34" s="50"/>
      <c r="O34" s="44"/>
      <c r="P34" s="44"/>
      <c r="Q34" s="50"/>
      <c r="R34" s="44"/>
      <c r="S34" s="44"/>
      <c r="T34" s="44"/>
      <c r="U34" s="44"/>
      <c r="W34" s="51"/>
    </row>
    <row r="35" spans="3:23" x14ac:dyDescent="0.3">
      <c r="C35" s="56">
        <v>45446</v>
      </c>
      <c r="D35" s="44">
        <v>1045.4000000000001</v>
      </c>
      <c r="E35" s="42">
        <f>Table1[[#This Row],[Adj Closing]]/D34 - 1</f>
        <v>4.4389784584639713E-3</v>
      </c>
      <c r="G35" s="54">
        <v>44606</v>
      </c>
      <c r="H35" s="44">
        <v>16793.900000000001</v>
      </c>
      <c r="I35" s="45">
        <f>Table3[[#This Row],[Closing]]/H34 -1</f>
        <v>-3.1485278131010208E-2</v>
      </c>
      <c r="J35" s="45"/>
      <c r="K35" s="45"/>
      <c r="L35" s="53"/>
      <c r="N35" s="50"/>
      <c r="O35" s="52"/>
      <c r="P35" s="44"/>
      <c r="Q35" s="50"/>
      <c r="R35" s="44"/>
      <c r="S35" s="44"/>
      <c r="T35" s="44"/>
      <c r="U35" s="44"/>
      <c r="W35" s="51"/>
    </row>
    <row r="36" spans="3:23" x14ac:dyDescent="0.3">
      <c r="C36" s="56">
        <v>45476</v>
      </c>
      <c r="D36" s="44">
        <v>1143.53</v>
      </c>
      <c r="E36" s="42">
        <f>Table1[[#This Row],[Adj Closing]]/D35 - 1</f>
        <v>9.3868375741342991E-2</v>
      </c>
      <c r="G36" s="54">
        <v>44636</v>
      </c>
      <c r="H36" s="44">
        <v>17464.75</v>
      </c>
      <c r="I36" s="45">
        <f>Table3[[#This Row],[Closing]]/H35 -1</f>
        <v>3.9946051840251462E-2</v>
      </c>
      <c r="J36" s="45"/>
      <c r="K36" s="45"/>
      <c r="L36" s="53"/>
      <c r="N36" s="50"/>
      <c r="O36" s="44"/>
      <c r="P36" s="44"/>
      <c r="Q36" s="50"/>
      <c r="R36" s="44"/>
      <c r="S36" s="44"/>
      <c r="T36" s="44"/>
      <c r="U36" s="44"/>
      <c r="W36" s="51"/>
    </row>
    <row r="37" spans="3:23" x14ac:dyDescent="0.3">
      <c r="C37" s="56">
        <v>45506</v>
      </c>
      <c r="D37" s="44">
        <v>1240.6199999999999</v>
      </c>
      <c r="E37" s="42">
        <f>Table1[[#This Row],[Adj Closing]]/D36 - 1</f>
        <v>8.4903762909587011E-2</v>
      </c>
      <c r="G37" s="54">
        <v>44666</v>
      </c>
      <c r="H37" s="44">
        <v>17102.55</v>
      </c>
      <c r="I37" s="45">
        <f>Table3[[#This Row],[Closing]]/H36 -1</f>
        <v>-2.0738916961307807E-2</v>
      </c>
      <c r="J37" s="45"/>
      <c r="K37" s="45"/>
      <c r="L37" s="53"/>
      <c r="N37" s="50"/>
      <c r="O37" s="44"/>
      <c r="P37" s="44"/>
      <c r="Q37" s="50"/>
      <c r="R37" s="44"/>
      <c r="S37" s="44"/>
      <c r="T37" s="44"/>
      <c r="U37" s="44"/>
      <c r="W37" s="51"/>
    </row>
    <row r="38" spans="3:23" x14ac:dyDescent="0.3">
      <c r="C38" s="56">
        <v>45536</v>
      </c>
      <c r="D38" s="44">
        <v>1350.2</v>
      </c>
      <c r="E38" s="42">
        <f>Table1[[#This Row],[Adj Closing]]/D37 - 1</f>
        <v>8.8326804339765808E-2</v>
      </c>
      <c r="G38" s="54">
        <v>44696</v>
      </c>
      <c r="H38" s="44">
        <v>16584.55</v>
      </c>
      <c r="I38" s="45">
        <f>Table3[[#This Row],[Closing]]/H37 -1</f>
        <v>-3.0287881046978327E-2</v>
      </c>
      <c r="J38" s="45"/>
      <c r="K38" s="45"/>
      <c r="L38" s="53"/>
      <c r="N38" s="50"/>
      <c r="O38" s="52"/>
      <c r="P38" s="44"/>
      <c r="Q38" s="50"/>
      <c r="R38" s="44"/>
      <c r="S38" s="44"/>
      <c r="T38" s="44"/>
      <c r="U38" s="44"/>
      <c r="W38" s="51"/>
    </row>
    <row r="39" spans="3:23" x14ac:dyDescent="0.3">
      <c r="C39" s="55">
        <v>45566</v>
      </c>
      <c r="D39" s="44">
        <v>1357.1</v>
      </c>
      <c r="E39" s="42">
        <f>Table1[[#This Row],[Adj Closing]]/D38 - 1</f>
        <v>5.1103540216264065E-3</v>
      </c>
      <c r="G39" s="54">
        <v>44726</v>
      </c>
      <c r="H39" s="44">
        <v>15780.25</v>
      </c>
      <c r="I39" s="45">
        <f>Table3[[#This Row],[Closing]]/H38 -1</f>
        <v>-4.8496944445281853E-2</v>
      </c>
      <c r="J39" s="45"/>
      <c r="K39" s="45"/>
      <c r="L39" s="53"/>
      <c r="N39" s="50"/>
      <c r="O39" s="52"/>
      <c r="P39" s="44"/>
      <c r="Q39" s="50"/>
      <c r="R39" s="44"/>
      <c r="S39" s="44"/>
      <c r="T39" s="44"/>
      <c r="U39" s="44"/>
      <c r="W39" s="51"/>
    </row>
    <row r="40" spans="3:23" x14ac:dyDescent="0.3">
      <c r="C40" s="56"/>
      <c r="D40" s="41"/>
      <c r="E40" s="42"/>
      <c r="G40" s="54">
        <v>44756</v>
      </c>
      <c r="H40" s="44">
        <v>17158.25</v>
      </c>
      <c r="I40" s="45">
        <f>Table3[[#This Row],[Closing]]/H39 -1</f>
        <v>8.7324345305048956E-2</v>
      </c>
      <c r="J40" s="45"/>
      <c r="K40" s="45"/>
      <c r="L40" s="53"/>
      <c r="O40" s="54"/>
      <c r="Q40" s="50"/>
      <c r="R40" s="44"/>
      <c r="S40" s="44"/>
      <c r="T40" s="44"/>
      <c r="U40" s="44"/>
      <c r="W40" s="51"/>
    </row>
    <row r="41" spans="3:23" x14ac:dyDescent="0.3">
      <c r="C41" s="56"/>
      <c r="D41" s="41"/>
      <c r="E41" s="42"/>
      <c r="G41" s="54">
        <v>44786</v>
      </c>
      <c r="H41" s="44">
        <v>17759.3</v>
      </c>
      <c r="I41" s="45">
        <f>Table3[[#This Row],[Closing]]/H40 -1</f>
        <v>3.5029796162195925E-2</v>
      </c>
      <c r="J41" s="45"/>
      <c r="K41" s="45"/>
      <c r="O41" s="54"/>
      <c r="Q41" s="50"/>
      <c r="R41" s="44"/>
      <c r="S41" s="44"/>
      <c r="T41" s="44"/>
      <c r="U41" s="44"/>
      <c r="W41" s="51"/>
    </row>
    <row r="42" spans="3:23" x14ac:dyDescent="0.3">
      <c r="C42" s="56"/>
      <c r="D42" s="41"/>
      <c r="E42" s="42"/>
      <c r="G42" s="54">
        <v>44816</v>
      </c>
      <c r="H42" s="44">
        <v>17094.349999999999</v>
      </c>
      <c r="I42" s="45">
        <f>Table3[[#This Row],[Closing]]/H41 -1</f>
        <v>-3.7442354146841383E-2</v>
      </c>
      <c r="J42" s="45"/>
      <c r="K42" s="45"/>
      <c r="O42" s="54"/>
      <c r="Q42" s="50"/>
      <c r="R42" s="44"/>
      <c r="S42" s="44"/>
      <c r="T42" s="44"/>
      <c r="U42" s="44"/>
      <c r="W42" s="51"/>
    </row>
    <row r="43" spans="3:23" x14ac:dyDescent="0.3">
      <c r="C43" s="56"/>
      <c r="D43" s="41"/>
      <c r="E43" s="42"/>
      <c r="G43" s="54">
        <v>44846</v>
      </c>
      <c r="H43" s="44">
        <v>18012.2</v>
      </c>
      <c r="I43" s="45">
        <f>Table3[[#This Row],[Closing]]/H42 -1</f>
        <v>5.3693179325332796E-2</v>
      </c>
      <c r="J43" s="45"/>
      <c r="K43" s="45"/>
      <c r="O43" s="54"/>
      <c r="Q43" s="50"/>
      <c r="R43" s="44"/>
      <c r="S43" s="44"/>
      <c r="T43" s="44"/>
      <c r="U43" s="44"/>
      <c r="W43" s="51"/>
    </row>
    <row r="44" spans="3:23" x14ac:dyDescent="0.3">
      <c r="C44" s="56"/>
      <c r="D44" s="41"/>
      <c r="E44" s="42"/>
      <c r="G44" s="54">
        <v>44876</v>
      </c>
      <c r="H44" s="44">
        <v>18758.349999999999</v>
      </c>
      <c r="I44" s="45">
        <f>Table3[[#This Row],[Closing]]/H43 -1</f>
        <v>4.1424701035964295E-2</v>
      </c>
      <c r="J44" s="45"/>
      <c r="K44" s="45"/>
      <c r="O44" s="54"/>
      <c r="Q44" s="50"/>
      <c r="R44" s="44"/>
      <c r="S44" s="44"/>
      <c r="T44" s="44"/>
      <c r="U44" s="44"/>
      <c r="W44" s="51"/>
    </row>
    <row r="45" spans="3:23" x14ac:dyDescent="0.3">
      <c r="C45" s="56"/>
      <c r="D45" s="41"/>
      <c r="E45" s="42"/>
      <c r="G45" s="54">
        <v>44906</v>
      </c>
      <c r="H45" s="44">
        <v>18105.3</v>
      </c>
      <c r="I45" s="45">
        <f>Table3[[#This Row],[Closing]]/H44 -1</f>
        <v>-3.4813829574562805E-2</v>
      </c>
      <c r="J45" s="45"/>
      <c r="K45" s="45"/>
      <c r="O45" s="54"/>
      <c r="Q45" s="50"/>
      <c r="R45" s="44"/>
      <c r="S45" s="44"/>
      <c r="T45" s="44"/>
      <c r="U45" s="44"/>
      <c r="W45" s="51"/>
    </row>
    <row r="46" spans="3:23" x14ac:dyDescent="0.3">
      <c r="C46" s="56"/>
      <c r="D46" s="41"/>
      <c r="E46" s="42"/>
      <c r="G46" s="54">
        <v>44936</v>
      </c>
      <c r="H46" s="44">
        <v>17662.150000000001</v>
      </c>
      <c r="I46" s="45">
        <f>Table3[[#This Row],[Closing]]/H45 -1</f>
        <v>-2.4476258333195111E-2</v>
      </c>
      <c r="J46" s="45"/>
      <c r="K46" s="45"/>
      <c r="O46" s="54"/>
      <c r="Q46" s="50"/>
      <c r="R46" s="44"/>
      <c r="S46" s="44"/>
      <c r="T46" s="44"/>
      <c r="U46" s="44"/>
      <c r="W46" s="51"/>
    </row>
    <row r="47" spans="3:23" x14ac:dyDescent="0.3">
      <c r="C47" s="56"/>
      <c r="D47" s="41"/>
      <c r="E47" s="42"/>
      <c r="G47" s="54">
        <v>44966</v>
      </c>
      <c r="H47" s="44">
        <v>17303.95</v>
      </c>
      <c r="I47" s="45">
        <f>Table3[[#This Row],[Closing]]/H46 -1</f>
        <v>-2.0280656658447582E-2</v>
      </c>
      <c r="J47" s="45"/>
      <c r="K47" s="45"/>
      <c r="O47" s="54"/>
      <c r="Q47" s="50"/>
      <c r="R47" s="44"/>
      <c r="S47" s="44"/>
      <c r="T47" s="44"/>
      <c r="U47" s="44"/>
      <c r="W47" s="51"/>
    </row>
    <row r="48" spans="3:23" x14ac:dyDescent="0.3">
      <c r="C48" s="56"/>
      <c r="D48" s="41"/>
      <c r="E48" s="42"/>
      <c r="G48" s="54">
        <v>44996</v>
      </c>
      <c r="H48" s="44">
        <v>17359.75</v>
      </c>
      <c r="I48" s="45">
        <f>Table3[[#This Row],[Closing]]/H47 -1</f>
        <v>3.2246972512055549E-3</v>
      </c>
      <c r="J48" s="45"/>
      <c r="K48" s="45"/>
      <c r="O48" s="54"/>
      <c r="Q48" s="50"/>
      <c r="R48" s="44"/>
      <c r="S48" s="44"/>
      <c r="T48" s="44"/>
      <c r="U48" s="44"/>
      <c r="W48" s="51"/>
    </row>
    <row r="49" spans="3:23" x14ac:dyDescent="0.3">
      <c r="C49" s="56"/>
      <c r="D49" s="41"/>
      <c r="E49" s="42"/>
      <c r="G49" s="54">
        <v>45026</v>
      </c>
      <c r="H49" s="44">
        <v>18065</v>
      </c>
      <c r="I49" s="45">
        <f>Table3[[#This Row],[Closing]]/H48 -1</f>
        <v>4.0625585045867663E-2</v>
      </c>
      <c r="J49" s="45"/>
      <c r="K49" s="45"/>
      <c r="O49" s="54"/>
      <c r="Q49" s="50"/>
      <c r="R49" s="44"/>
      <c r="S49" s="44"/>
      <c r="T49" s="44"/>
      <c r="U49" s="44"/>
      <c r="W49" s="51"/>
    </row>
    <row r="50" spans="3:23" x14ac:dyDescent="0.3">
      <c r="C50" s="56"/>
      <c r="D50" s="41"/>
      <c r="E50" s="42"/>
      <c r="G50" s="54">
        <v>45056</v>
      </c>
      <c r="H50" s="44">
        <v>18534.400000000001</v>
      </c>
      <c r="I50" s="45">
        <f>Table3[[#This Row],[Closing]]/H49 -1</f>
        <v>2.5983946858566309E-2</v>
      </c>
      <c r="J50" s="45"/>
      <c r="K50" s="45"/>
      <c r="O50" s="54"/>
      <c r="Q50" s="50"/>
      <c r="R50" s="44"/>
      <c r="S50" s="44"/>
      <c r="T50" s="44"/>
      <c r="U50" s="44"/>
      <c r="W50" s="51"/>
    </row>
    <row r="51" spans="3:23" x14ac:dyDescent="0.3">
      <c r="C51" s="40"/>
      <c r="D51" s="41"/>
      <c r="E51" s="42"/>
      <c r="G51" s="54">
        <v>45086</v>
      </c>
      <c r="H51" s="44">
        <v>19189.05</v>
      </c>
      <c r="I51" s="45">
        <f>Table3[[#This Row],[Closing]]/H50 -1</f>
        <v>3.5320808874309328E-2</v>
      </c>
      <c r="J51" s="45"/>
      <c r="K51" s="45"/>
      <c r="O51" s="54"/>
      <c r="Q51" s="50"/>
      <c r="R51" s="44"/>
      <c r="S51" s="44"/>
      <c r="T51" s="44"/>
      <c r="U51" s="44"/>
      <c r="W51" s="51"/>
    </row>
    <row r="52" spans="3:23" x14ac:dyDescent="0.3">
      <c r="C52" s="40"/>
      <c r="D52" s="41"/>
      <c r="E52" s="42"/>
      <c r="G52" s="54">
        <v>45116</v>
      </c>
      <c r="H52" s="44">
        <v>19753.8</v>
      </c>
      <c r="I52" s="45">
        <f>Table3[[#This Row],[Closing]]/H51 -1</f>
        <v>2.9430847280089489E-2</v>
      </c>
      <c r="J52" s="45"/>
      <c r="K52" s="45"/>
      <c r="O52" s="54"/>
      <c r="Q52" s="50"/>
      <c r="R52" s="44"/>
      <c r="S52" s="44"/>
      <c r="T52" s="44"/>
      <c r="U52" s="44"/>
      <c r="W52" s="51"/>
    </row>
    <row r="53" spans="3:23" x14ac:dyDescent="0.3">
      <c r="C53" s="40"/>
      <c r="D53" s="41"/>
      <c r="E53" s="42"/>
      <c r="G53" s="54">
        <v>45146</v>
      </c>
      <c r="H53" s="44">
        <v>19253.8</v>
      </c>
      <c r="I53" s="45">
        <f>Table3[[#This Row],[Closing]]/H52 -1</f>
        <v>-2.5311585618969512E-2</v>
      </c>
      <c r="J53" s="45"/>
      <c r="K53" s="45"/>
      <c r="O53" s="54"/>
      <c r="Q53" s="50"/>
      <c r="R53" s="44"/>
      <c r="S53" s="44"/>
      <c r="T53" s="44"/>
      <c r="U53" s="44"/>
      <c r="W53" s="51"/>
    </row>
    <row r="54" spans="3:23" x14ac:dyDescent="0.3">
      <c r="C54" s="40"/>
      <c r="D54" s="41"/>
      <c r="E54" s="42"/>
      <c r="G54" s="54">
        <v>45176</v>
      </c>
      <c r="H54" s="44">
        <v>19638.3</v>
      </c>
      <c r="I54" s="45">
        <f>Table3[[#This Row],[Closing]]/H53 -1</f>
        <v>1.9970083827608009E-2</v>
      </c>
      <c r="J54" s="45"/>
      <c r="K54" s="45"/>
      <c r="O54" s="54"/>
      <c r="Q54" s="50"/>
      <c r="R54" s="44"/>
      <c r="S54" s="44"/>
      <c r="T54" s="44"/>
      <c r="U54" s="44"/>
      <c r="W54" s="51"/>
    </row>
    <row r="55" spans="3:23" x14ac:dyDescent="0.3">
      <c r="C55" s="40"/>
      <c r="D55" s="41"/>
      <c r="E55" s="42"/>
      <c r="G55" s="54">
        <v>45206</v>
      </c>
      <c r="H55" s="44">
        <v>19079.599999999999</v>
      </c>
      <c r="I55" s="45">
        <f>Table3[[#This Row],[Closing]]/H54 -1</f>
        <v>-2.844950937708457E-2</v>
      </c>
      <c r="J55" s="45"/>
      <c r="K55" s="45"/>
      <c r="O55" s="54"/>
      <c r="Q55" s="50"/>
      <c r="R55" s="44"/>
      <c r="S55" s="44"/>
      <c r="T55" s="44"/>
      <c r="U55" s="44"/>
      <c r="W55" s="51"/>
    </row>
    <row r="56" spans="3:23" x14ac:dyDescent="0.3">
      <c r="C56" s="40"/>
      <c r="D56" s="41"/>
      <c r="E56" s="42"/>
      <c r="G56" s="54">
        <v>45236</v>
      </c>
      <c r="H56" s="44">
        <v>20133.150000000001</v>
      </c>
      <c r="I56" s="45">
        <f>Table3[[#This Row],[Closing]]/H55 -1</f>
        <v>5.5218662865049728E-2</v>
      </c>
      <c r="J56" s="45"/>
      <c r="K56" s="45"/>
      <c r="O56" s="54"/>
      <c r="Q56" s="50"/>
      <c r="R56" s="44"/>
      <c r="S56" s="44"/>
      <c r="T56" s="44"/>
      <c r="U56" s="44"/>
      <c r="W56" s="51"/>
    </row>
    <row r="57" spans="3:23" x14ac:dyDescent="0.3">
      <c r="C57" s="40"/>
      <c r="D57" s="41"/>
      <c r="E57" s="42"/>
      <c r="G57" s="54">
        <v>45266</v>
      </c>
      <c r="H57" s="44">
        <v>21731.4</v>
      </c>
      <c r="I57" s="45">
        <f>Table3[[#This Row],[Closing]]/H56 -1</f>
        <v>7.9384001013254268E-2</v>
      </c>
      <c r="J57" s="45"/>
      <c r="K57" s="45"/>
      <c r="O57" s="54"/>
      <c r="Q57" s="50"/>
      <c r="R57" s="44"/>
      <c r="S57" s="44"/>
      <c r="T57" s="44"/>
      <c r="U57" s="44"/>
      <c r="W57" s="51"/>
    </row>
    <row r="58" spans="3:23" x14ac:dyDescent="0.3">
      <c r="C58" s="40"/>
      <c r="D58" s="41"/>
      <c r="E58" s="42"/>
      <c r="G58" s="54">
        <v>45296</v>
      </c>
      <c r="H58" s="44">
        <v>21725.7</v>
      </c>
      <c r="I58" s="45">
        <f>Table3[[#This Row],[Closing]]/H57 -1</f>
        <v>-2.6229327148741266E-4</v>
      </c>
      <c r="J58" s="45"/>
      <c r="K58" s="45"/>
      <c r="O58" s="54"/>
      <c r="Q58" s="50"/>
      <c r="R58" s="44"/>
      <c r="S58" s="44"/>
      <c r="T58" s="44"/>
      <c r="U58" s="44"/>
      <c r="W58" s="51"/>
    </row>
    <row r="59" spans="3:23" x14ac:dyDescent="0.3">
      <c r="C59" s="40"/>
      <c r="D59" s="41"/>
      <c r="E59" s="42"/>
      <c r="G59" s="54">
        <v>45326</v>
      </c>
      <c r="H59" s="44">
        <v>21982.799999999999</v>
      </c>
      <c r="I59" s="45">
        <f>Table3[[#This Row],[Closing]]/H58 -1</f>
        <v>1.1833910990209695E-2</v>
      </c>
      <c r="J59" s="45"/>
      <c r="K59" s="45"/>
      <c r="O59" s="54"/>
      <c r="Q59" s="50"/>
      <c r="R59" s="44"/>
      <c r="S59" s="44"/>
      <c r="T59" s="44"/>
      <c r="U59" s="44"/>
      <c r="W59" s="51"/>
    </row>
    <row r="60" spans="3:23" x14ac:dyDescent="0.3">
      <c r="C60" s="40"/>
      <c r="D60" s="41"/>
      <c r="E60" s="42"/>
      <c r="G60" s="54">
        <v>45356</v>
      </c>
      <c r="H60" s="44">
        <v>22326.9</v>
      </c>
      <c r="I60" s="45">
        <f>Table3[[#This Row],[Closing]]/H59 -1</f>
        <v>1.5653147005840973E-2</v>
      </c>
      <c r="J60" s="45"/>
      <c r="K60" s="45"/>
      <c r="O60" s="54"/>
      <c r="Q60" s="50"/>
      <c r="R60" s="44"/>
      <c r="S60" s="44"/>
      <c r="T60" s="44"/>
      <c r="U60" s="44"/>
      <c r="W60" s="51"/>
    </row>
    <row r="61" spans="3:23" x14ac:dyDescent="0.3">
      <c r="C61" s="40"/>
      <c r="D61" s="41"/>
      <c r="E61" s="42"/>
      <c r="G61" s="54">
        <v>45386</v>
      </c>
      <c r="H61" s="44">
        <v>22604.85</v>
      </c>
      <c r="I61" s="45">
        <f>Table3[[#This Row],[Closing]]/H60 -1</f>
        <v>1.2449108474530624E-2</v>
      </c>
      <c r="J61" s="45"/>
      <c r="K61" s="45"/>
      <c r="O61" s="54"/>
      <c r="Q61" s="50"/>
      <c r="R61" s="44"/>
      <c r="S61" s="44"/>
      <c r="T61" s="44"/>
      <c r="U61" s="44"/>
      <c r="W61" s="51"/>
    </row>
    <row r="62" spans="3:23" x14ac:dyDescent="0.3">
      <c r="C62" s="40"/>
      <c r="D62" s="41"/>
      <c r="E62" s="42"/>
      <c r="G62" s="54">
        <v>45416</v>
      </c>
      <c r="H62" s="44">
        <v>22530.7</v>
      </c>
      <c r="I62" s="45">
        <f>Table3[[#This Row],[Closing]]/H61 -1</f>
        <v>-3.2802694996869608E-3</v>
      </c>
      <c r="J62" s="45"/>
      <c r="K62" s="45"/>
      <c r="O62" s="54"/>
      <c r="Q62" s="50"/>
      <c r="R62" s="44"/>
      <c r="S62" s="44"/>
      <c r="T62" s="44"/>
      <c r="U62" s="44"/>
      <c r="W62" s="51"/>
    </row>
    <row r="63" spans="3:23" x14ac:dyDescent="0.3">
      <c r="C63" s="40"/>
      <c r="D63" s="41"/>
      <c r="E63" s="42"/>
      <c r="G63" s="54">
        <v>45446</v>
      </c>
      <c r="H63" s="44">
        <v>24010.6</v>
      </c>
      <c r="I63" s="45">
        <f>Table3[[#This Row],[Closing]]/H62 -1</f>
        <v>6.5683711558007341E-2</v>
      </c>
      <c r="J63" s="45"/>
      <c r="K63" s="45"/>
      <c r="O63" s="54"/>
      <c r="Q63" s="50"/>
      <c r="R63" s="44"/>
      <c r="S63" s="44"/>
      <c r="T63" s="44"/>
      <c r="U63" s="44"/>
      <c r="W63" s="51"/>
    </row>
    <row r="64" spans="3:23" x14ac:dyDescent="0.3">
      <c r="C64" s="40"/>
      <c r="D64" s="41"/>
      <c r="E64" s="42"/>
      <c r="G64" s="54">
        <v>45476</v>
      </c>
      <c r="H64" s="44">
        <v>24951.15</v>
      </c>
      <c r="I64" s="45">
        <f>Table3[[#This Row],[Closing]]/H63 -1</f>
        <v>3.917228224200997E-2</v>
      </c>
      <c r="J64" s="45"/>
      <c r="K64" s="45"/>
      <c r="O64" s="54"/>
      <c r="Q64" s="50"/>
      <c r="R64" s="44"/>
      <c r="S64" s="44"/>
      <c r="T64" s="44"/>
      <c r="U64" s="44"/>
      <c r="W64" s="51"/>
    </row>
    <row r="65" spans="3:23" x14ac:dyDescent="0.3">
      <c r="C65" s="40"/>
      <c r="D65" s="41"/>
      <c r="E65" s="42"/>
      <c r="G65" s="54">
        <v>45506</v>
      </c>
      <c r="H65" s="44">
        <v>25235.9</v>
      </c>
      <c r="I65" s="45">
        <f>Table3[[#This Row],[Closing]]/H64 -1</f>
        <v>1.141229963348378E-2</v>
      </c>
      <c r="J65" s="45"/>
      <c r="K65" s="45"/>
      <c r="O65" s="54"/>
      <c r="Q65" s="50"/>
      <c r="R65" s="44"/>
      <c r="S65" s="44"/>
      <c r="T65" s="44"/>
      <c r="U65" s="44"/>
      <c r="W65" s="51"/>
    </row>
    <row r="66" spans="3:23" x14ac:dyDescent="0.3">
      <c r="C66" s="40"/>
      <c r="D66" s="41"/>
      <c r="E66" s="42"/>
      <c r="G66" s="54">
        <v>45536</v>
      </c>
      <c r="H66" s="44">
        <v>25810.85</v>
      </c>
      <c r="I66" s="45">
        <f>Table3[[#This Row],[Closing]]/H65 -1</f>
        <v>2.2783019428670892E-2</v>
      </c>
      <c r="J66" s="45"/>
      <c r="K66" s="45"/>
      <c r="O66" s="54"/>
      <c r="Q66" s="50"/>
      <c r="R66" s="44"/>
      <c r="S66" s="44"/>
      <c r="T66" s="44"/>
      <c r="U66" s="44"/>
      <c r="W66" s="51"/>
    </row>
    <row r="67" spans="3:23" x14ac:dyDescent="0.3">
      <c r="C67" s="40"/>
      <c r="D67" s="41"/>
      <c r="E67" s="42"/>
      <c r="G67" s="54">
        <v>45566</v>
      </c>
      <c r="H67" s="44">
        <v>25796.9</v>
      </c>
      <c r="I67" s="45">
        <f>Table3[[#This Row],[Closing]]/H66 -1</f>
        <v>-5.4047038357885047E-4</v>
      </c>
      <c r="J67" s="45"/>
      <c r="K67" s="45"/>
      <c r="O67" s="54"/>
      <c r="Q67" s="50"/>
      <c r="R67" s="44"/>
      <c r="S67" s="44"/>
      <c r="T67" s="44"/>
      <c r="U67" s="44"/>
      <c r="W67" s="51"/>
    </row>
    <row r="68" spans="3:23" x14ac:dyDescent="0.3">
      <c r="C68" s="40"/>
      <c r="D68" s="41"/>
      <c r="E68" s="42"/>
      <c r="G68" s="54"/>
      <c r="H68" s="45"/>
      <c r="J68" s="45"/>
      <c r="K68" s="45"/>
      <c r="O68" s="54"/>
      <c r="Q68" s="50"/>
      <c r="R68" s="44"/>
      <c r="S68" s="44"/>
      <c r="T68" s="44"/>
      <c r="U68" s="44"/>
      <c r="W68" s="51"/>
    </row>
    <row r="69" spans="3:23" x14ac:dyDescent="0.3">
      <c r="G69" s="54"/>
      <c r="O69" s="54"/>
      <c r="Q69" s="50"/>
      <c r="R69" s="44"/>
      <c r="S69" s="44"/>
      <c r="T69" s="44"/>
      <c r="U69" s="44"/>
      <c r="W69" s="51"/>
    </row>
    <row r="70" spans="3:23" x14ac:dyDescent="0.3">
      <c r="G70" s="54"/>
      <c r="O70" s="54"/>
      <c r="Q70" s="53"/>
    </row>
    <row r="71" spans="3:23" x14ac:dyDescent="0.3">
      <c r="G71" s="54"/>
      <c r="O71" s="54"/>
      <c r="Q71" s="53"/>
    </row>
    <row r="72" spans="3:23" x14ac:dyDescent="0.3">
      <c r="G72" s="54"/>
      <c r="O72" s="54"/>
      <c r="Q72" s="53"/>
    </row>
    <row r="73" spans="3:23" x14ac:dyDescent="0.3">
      <c r="G73" s="54"/>
      <c r="O73" s="54"/>
      <c r="Q73" s="53"/>
    </row>
    <row r="74" spans="3:23" x14ac:dyDescent="0.3">
      <c r="G74" s="54"/>
      <c r="O74" s="54"/>
      <c r="Q74" s="53"/>
    </row>
    <row r="75" spans="3:23" x14ac:dyDescent="0.3">
      <c r="G75" s="54"/>
      <c r="O75" s="54"/>
      <c r="Q75" s="53"/>
    </row>
    <row r="76" spans="3:23" x14ac:dyDescent="0.3">
      <c r="G76" s="54"/>
      <c r="O76" s="54"/>
      <c r="Q76" s="53"/>
    </row>
    <row r="77" spans="3:23" x14ac:dyDescent="0.3">
      <c r="G77" s="54"/>
      <c r="O77" s="54"/>
      <c r="Q77" s="53"/>
    </row>
    <row r="78" spans="3:23" x14ac:dyDescent="0.3">
      <c r="G78" s="54"/>
      <c r="O78" s="54"/>
      <c r="Q78" s="53"/>
    </row>
    <row r="79" spans="3:23" x14ac:dyDescent="0.3">
      <c r="G79" s="54"/>
      <c r="O79" s="54"/>
      <c r="Q79" s="53"/>
    </row>
    <row r="80" spans="3:23" x14ac:dyDescent="0.3">
      <c r="G80" s="54"/>
      <c r="O80" s="54"/>
      <c r="Q80" s="53"/>
    </row>
    <row r="81" spans="7:17" x14ac:dyDescent="0.3">
      <c r="G81" s="54"/>
      <c r="O81" s="54"/>
      <c r="Q81" s="53"/>
    </row>
    <row r="82" spans="7:17" x14ac:dyDescent="0.3">
      <c r="G82" s="54"/>
      <c r="O82" s="54"/>
      <c r="Q82" s="53"/>
    </row>
    <row r="83" spans="7:17" x14ac:dyDescent="0.3">
      <c r="O83" s="54"/>
      <c r="Q83" s="53"/>
    </row>
    <row r="84" spans="7:17" x14ac:dyDescent="0.3">
      <c r="O84" s="54"/>
      <c r="Q84" s="53"/>
    </row>
    <row r="85" spans="7:17" x14ac:dyDescent="0.3">
      <c r="O85" s="54"/>
      <c r="Q85" s="53"/>
    </row>
    <row r="86" spans="7:17" x14ac:dyDescent="0.3">
      <c r="O86" s="54"/>
      <c r="Q86" s="53"/>
    </row>
    <row r="87" spans="7:17" x14ac:dyDescent="0.3">
      <c r="O87" s="54"/>
      <c r="Q87" s="53"/>
    </row>
    <row r="88" spans="7:17" x14ac:dyDescent="0.3">
      <c r="O88" s="54"/>
      <c r="Q88" s="53"/>
    </row>
    <row r="89" spans="7:17" x14ac:dyDescent="0.3">
      <c r="O89" s="54"/>
      <c r="Q89" s="53"/>
    </row>
    <row r="90" spans="7:17" x14ac:dyDescent="0.3">
      <c r="O90" s="54"/>
      <c r="Q90" s="53"/>
    </row>
    <row r="91" spans="7:17" x14ac:dyDescent="0.3">
      <c r="O91" s="54"/>
      <c r="Q91" s="53"/>
    </row>
    <row r="92" spans="7:17" x14ac:dyDescent="0.3">
      <c r="O92" s="54"/>
      <c r="Q92" s="53"/>
    </row>
    <row r="93" spans="7:17" x14ac:dyDescent="0.3">
      <c r="O93" s="54"/>
      <c r="Q93" s="53"/>
    </row>
    <row r="94" spans="7:17" x14ac:dyDescent="0.3">
      <c r="O94" s="54"/>
      <c r="Q94" s="53"/>
    </row>
    <row r="95" spans="7:17" x14ac:dyDescent="0.3">
      <c r="O95" s="54"/>
      <c r="Q95" s="53"/>
    </row>
    <row r="96" spans="7:17" x14ac:dyDescent="0.3">
      <c r="O96" s="54"/>
      <c r="Q96" s="53"/>
    </row>
    <row r="97" spans="15:17" x14ac:dyDescent="0.3">
      <c r="O97" s="54"/>
      <c r="Q97" s="53"/>
    </row>
    <row r="98" spans="15:17" x14ac:dyDescent="0.3">
      <c r="O98" s="54"/>
      <c r="Q98" s="53"/>
    </row>
    <row r="99" spans="15:17" x14ac:dyDescent="0.3">
      <c r="O99" s="54"/>
      <c r="Q99" s="53"/>
    </row>
    <row r="100" spans="15:17" x14ac:dyDescent="0.3">
      <c r="O100" s="54"/>
      <c r="Q100" s="53"/>
    </row>
    <row r="101" spans="15:17" x14ac:dyDescent="0.3">
      <c r="O101" s="54"/>
      <c r="Q101" s="53"/>
    </row>
    <row r="102" spans="15:17" x14ac:dyDescent="0.3">
      <c r="O102" s="54"/>
      <c r="Q102" s="53"/>
    </row>
    <row r="103" spans="15:17" x14ac:dyDescent="0.3">
      <c r="O103" s="54"/>
      <c r="Q103" s="53"/>
    </row>
    <row r="104" spans="15:17" x14ac:dyDescent="0.3">
      <c r="O104" s="54"/>
      <c r="Q104" s="53"/>
    </row>
    <row r="105" spans="15:17" x14ac:dyDescent="0.3">
      <c r="O105" s="54"/>
      <c r="Q105" s="53"/>
    </row>
    <row r="106" spans="15:17" x14ac:dyDescent="0.3">
      <c r="O106" s="54"/>
      <c r="Q106" s="53"/>
    </row>
    <row r="107" spans="15:17" x14ac:dyDescent="0.3">
      <c r="O107" s="54"/>
      <c r="Q107" s="53"/>
    </row>
    <row r="108" spans="15:17" x14ac:dyDescent="0.3">
      <c r="O108" s="54"/>
      <c r="Q108" s="53"/>
    </row>
    <row r="109" spans="15:17" x14ac:dyDescent="0.3">
      <c r="O109" s="54"/>
      <c r="Q109" s="53"/>
    </row>
    <row r="110" spans="15:17" x14ac:dyDescent="0.3">
      <c r="O110" s="54"/>
      <c r="Q110" s="53"/>
    </row>
    <row r="111" spans="15:17" x14ac:dyDescent="0.3">
      <c r="O111" s="54"/>
      <c r="Q111" s="53"/>
    </row>
    <row r="112" spans="15:17" x14ac:dyDescent="0.3">
      <c r="O112" s="54"/>
      <c r="Q112" s="53"/>
    </row>
    <row r="113" spans="15:17" x14ac:dyDescent="0.3">
      <c r="O113" s="54"/>
      <c r="Q113" s="53"/>
    </row>
    <row r="114" spans="15:17" x14ac:dyDescent="0.3">
      <c r="O114" s="54"/>
      <c r="Q114" s="53"/>
    </row>
    <row r="115" spans="15:17" x14ac:dyDescent="0.3">
      <c r="Q115" s="53"/>
    </row>
    <row r="116" spans="15:17" x14ac:dyDescent="0.3">
      <c r="Q116" s="53"/>
    </row>
    <row r="117" spans="15:17" x14ac:dyDescent="0.3">
      <c r="Q117" s="53"/>
    </row>
    <row r="118" spans="15:17" x14ac:dyDescent="0.3">
      <c r="Q118" s="53"/>
    </row>
    <row r="119" spans="15:17" x14ac:dyDescent="0.3">
      <c r="Q119" s="53"/>
    </row>
    <row r="120" spans="15:17" x14ac:dyDescent="0.3">
      <c r="Q120" s="53"/>
    </row>
    <row r="121" spans="15:17" x14ac:dyDescent="0.3">
      <c r="Q121" s="53"/>
    </row>
    <row r="122" spans="15:17" x14ac:dyDescent="0.3">
      <c r="Q122" s="53"/>
    </row>
    <row r="123" spans="15:17" x14ac:dyDescent="0.3">
      <c r="Q123" s="53"/>
    </row>
    <row r="124" spans="15:17" x14ac:dyDescent="0.3">
      <c r="Q124" s="53"/>
    </row>
    <row r="125" spans="15:17" x14ac:dyDescent="0.3">
      <c r="Q125" s="53"/>
    </row>
    <row r="126" spans="15:17" x14ac:dyDescent="0.3">
      <c r="Q126" s="53"/>
    </row>
    <row r="127" spans="15:17" x14ac:dyDescent="0.3">
      <c r="Q127" s="53"/>
    </row>
    <row r="128" spans="15:17" x14ac:dyDescent="0.3">
      <c r="Q128" s="53"/>
    </row>
    <row r="129" spans="17:17" x14ac:dyDescent="0.3">
      <c r="Q129" s="53"/>
    </row>
    <row r="130" spans="17:17" x14ac:dyDescent="0.3">
      <c r="Q130" s="53"/>
    </row>
    <row r="131" spans="17:17" x14ac:dyDescent="0.3">
      <c r="Q131" s="53"/>
    </row>
  </sheetData>
  <dataConsolidate/>
  <mergeCells count="5">
    <mergeCell ref="G6:I6"/>
    <mergeCell ref="C6:E6"/>
    <mergeCell ref="K6:M6"/>
    <mergeCell ref="K11:M11"/>
    <mergeCell ref="C2:K4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5823-4F2C-4C8F-8808-FCA75525F571}">
  <dimension ref="C1:Q131"/>
  <sheetViews>
    <sheetView zoomScale="55" zoomScaleNormal="55" workbookViewId="0">
      <selection activeCell="O26" sqref="O26"/>
    </sheetView>
  </sheetViews>
  <sheetFormatPr defaultRowHeight="14.4" x14ac:dyDescent="0.3"/>
  <cols>
    <col min="1" max="1" width="1.77734375" customWidth="1"/>
    <col min="3" max="3" width="16.5546875" customWidth="1"/>
    <col min="4" max="4" width="13.21875" customWidth="1"/>
    <col min="5" max="5" width="22.44140625" customWidth="1"/>
    <col min="7" max="7" width="13.88671875" customWidth="1"/>
    <col min="8" max="9" width="15.5546875" customWidth="1"/>
    <col min="10" max="10" width="16.88671875" bestFit="1" customWidth="1"/>
    <col min="11" max="11" width="15.5546875" customWidth="1"/>
    <col min="12" max="12" width="10.33203125" bestFit="1" customWidth="1"/>
    <col min="14" max="14" width="17.6640625" customWidth="1"/>
    <col min="15" max="15" width="10.33203125" bestFit="1" customWidth="1"/>
    <col min="17" max="17" width="11.33203125" bestFit="1" customWidth="1"/>
  </cols>
  <sheetData>
    <row r="1" spans="3:14" x14ac:dyDescent="0.3">
      <c r="J1" t="s">
        <v>87</v>
      </c>
      <c r="K1" t="s">
        <v>88</v>
      </c>
    </row>
    <row r="2" spans="3:14" ht="14.25" customHeight="1" x14ac:dyDescent="0.3">
      <c r="C2" s="69" t="s">
        <v>60</v>
      </c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3:14" ht="14.25" customHeight="1" x14ac:dyDescent="0.3"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3:14" ht="14.25" customHeight="1" x14ac:dyDescent="0.3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6" spans="3:14" ht="15" customHeight="1" x14ac:dyDescent="0.6">
      <c r="C6" s="68" t="s">
        <v>102</v>
      </c>
      <c r="D6" s="68"/>
      <c r="E6" s="68"/>
      <c r="F6" s="46"/>
      <c r="G6" s="67" t="s">
        <v>61</v>
      </c>
      <c r="H6" s="67"/>
      <c r="I6" s="67"/>
      <c r="K6" s="67" t="s">
        <v>98</v>
      </c>
      <c r="L6" s="67"/>
      <c r="M6" s="67"/>
      <c r="N6" s="48"/>
    </row>
    <row r="7" spans="3:14" x14ac:dyDescent="0.3">
      <c r="C7" t="s">
        <v>93</v>
      </c>
      <c r="D7" t="s">
        <v>94</v>
      </c>
      <c r="E7" t="s">
        <v>95</v>
      </c>
      <c r="G7" t="s">
        <v>59</v>
      </c>
      <c r="H7" t="s">
        <v>96</v>
      </c>
      <c r="I7" t="s">
        <v>97</v>
      </c>
      <c r="N7" s="49"/>
    </row>
    <row r="8" spans="3:14" x14ac:dyDescent="0.3">
      <c r="C8" s="54">
        <v>43796</v>
      </c>
      <c r="D8" s="52">
        <v>225.6</v>
      </c>
      <c r="E8" s="42"/>
      <c r="G8" s="54">
        <v>43796</v>
      </c>
      <c r="H8" s="44">
        <v>12056.05</v>
      </c>
      <c r="K8" t="s">
        <v>50</v>
      </c>
      <c r="L8" s="47">
        <f>SLOPE(E8:E67,I8:I67)</f>
        <v>0.80496668771344038</v>
      </c>
      <c r="N8" s="50"/>
    </row>
    <row r="9" spans="3:14" x14ac:dyDescent="0.3">
      <c r="C9" s="54">
        <v>43826</v>
      </c>
      <c r="D9" s="52">
        <v>231.85</v>
      </c>
      <c r="E9" s="42">
        <f>Table15[[#This Row],[Adj Closing]]/D8 - 1</f>
        <v>2.7703900709219909E-2</v>
      </c>
      <c r="G9" s="54">
        <v>43826</v>
      </c>
      <c r="H9" s="44">
        <v>12168.45</v>
      </c>
      <c r="I9" s="45">
        <f>Table37[[#This Row],[Closing]]/H8 -1</f>
        <v>9.3231199273395848E-3</v>
      </c>
      <c r="K9" t="s">
        <v>92</v>
      </c>
      <c r="L9" s="47">
        <f>_xlfn.COVARIANCE.S(E9:E67,I9:I67)/_xlfn.VAR.S(I9:I67)</f>
        <v>0.8049666877134406</v>
      </c>
      <c r="N9" s="50"/>
    </row>
    <row r="10" spans="3:14" x14ac:dyDescent="0.3">
      <c r="C10" s="54">
        <v>43856</v>
      </c>
      <c r="D10" s="52">
        <v>233.9</v>
      </c>
      <c r="E10" s="42">
        <f>Table15[[#This Row],[Adj Closing]]/D9 - 1</f>
        <v>8.8419236575372206E-3</v>
      </c>
      <c r="G10" s="54">
        <v>43856</v>
      </c>
      <c r="H10" s="44">
        <v>11962.1</v>
      </c>
      <c r="I10" s="45">
        <f>Table37[[#This Row],[Closing]]/H9 -1</f>
        <v>-1.6957788378963667E-2</v>
      </c>
      <c r="L10" s="53"/>
      <c r="N10" s="50"/>
    </row>
    <row r="11" spans="3:14" ht="13.95" customHeight="1" x14ac:dyDescent="0.3">
      <c r="C11" s="54">
        <v>43886</v>
      </c>
      <c r="D11" s="52">
        <v>251.55</v>
      </c>
      <c r="E11" s="42">
        <f>Table15[[#This Row],[Adj Closing]]/D10 - 1</f>
        <v>7.5459598118854165E-2</v>
      </c>
      <c r="G11" s="54">
        <v>43886</v>
      </c>
      <c r="H11" s="44">
        <v>11201.75</v>
      </c>
      <c r="I11" s="45">
        <f>Table37[[#This Row],[Closing]]/H10 -1</f>
        <v>-6.3563253943705544E-2</v>
      </c>
      <c r="K11" s="67" t="s">
        <v>99</v>
      </c>
      <c r="L11" s="67"/>
      <c r="M11" s="67"/>
      <c r="N11" s="50"/>
    </row>
    <row r="12" spans="3:14" x14ac:dyDescent="0.3">
      <c r="C12" s="54">
        <v>43916</v>
      </c>
      <c r="D12" s="52">
        <v>153.15</v>
      </c>
      <c r="E12" s="42">
        <f>Table15[[#This Row],[Adj Closing]]/D11 - 1</f>
        <v>-0.39117471675611215</v>
      </c>
      <c r="G12" s="54">
        <v>43916</v>
      </c>
      <c r="H12" s="44">
        <v>8597.75</v>
      </c>
      <c r="I12" s="45">
        <f>Table37[[#This Row],[Closing]]/H11 -1</f>
        <v>-0.23246367755038277</v>
      </c>
      <c r="L12" s="53"/>
      <c r="N12" s="50"/>
    </row>
    <row r="13" spans="3:14" x14ac:dyDescent="0.3">
      <c r="C13" s="54">
        <v>43946</v>
      </c>
      <c r="D13" s="52">
        <v>115.7</v>
      </c>
      <c r="E13" s="42">
        <f>Table15[[#This Row],[Adj Closing]]/D12 - 1</f>
        <v>-0.24453150506039834</v>
      </c>
      <c r="G13" s="54">
        <v>43946</v>
      </c>
      <c r="H13" s="44">
        <v>9859.9</v>
      </c>
      <c r="I13" s="45">
        <f>Table37[[#This Row],[Closing]]/H12 -1</f>
        <v>0.14680003489284976</v>
      </c>
      <c r="K13" t="s">
        <v>87</v>
      </c>
      <c r="L13" s="53"/>
      <c r="M13" s="9">
        <f>L8</f>
        <v>0.80496668771344038</v>
      </c>
      <c r="N13" s="50"/>
    </row>
    <row r="14" spans="3:14" x14ac:dyDescent="0.3">
      <c r="C14" s="54">
        <v>43976</v>
      </c>
      <c r="D14" s="52">
        <v>119.75</v>
      </c>
      <c r="E14" s="42">
        <f>Table15[[#This Row],[Adj Closing]]/D13 - 1</f>
        <v>3.5004321521175497E-2</v>
      </c>
      <c r="G14" s="54">
        <v>43976</v>
      </c>
      <c r="H14" s="44">
        <v>9580.2999999999993</v>
      </c>
      <c r="I14" s="45">
        <f>Table37[[#This Row],[Closing]]/H13 -1</f>
        <v>-2.8357285570847601E-2</v>
      </c>
      <c r="K14" t="s">
        <v>90</v>
      </c>
      <c r="L14" s="53"/>
      <c r="M14" s="7">
        <v>0.75</v>
      </c>
      <c r="N14" s="50"/>
    </row>
    <row r="15" spans="3:14" x14ac:dyDescent="0.3">
      <c r="C15" s="54">
        <v>44006</v>
      </c>
      <c r="D15" s="52">
        <v>125.35</v>
      </c>
      <c r="E15" s="42">
        <f>Table15[[#This Row],[Adj Closing]]/D14 - 1</f>
        <v>4.6764091858037427E-2</v>
      </c>
      <c r="G15" s="54">
        <v>44006</v>
      </c>
      <c r="H15" s="44">
        <v>10302.1</v>
      </c>
      <c r="I15" s="45">
        <f>Table37[[#This Row],[Closing]]/H14 -1</f>
        <v>7.5342108284709441E-2</v>
      </c>
      <c r="J15" s="45"/>
      <c r="K15" s="45"/>
      <c r="L15" s="53"/>
      <c r="N15" s="50"/>
    </row>
    <row r="16" spans="3:14" x14ac:dyDescent="0.3">
      <c r="C16" s="54">
        <v>44036</v>
      </c>
      <c r="D16" s="52">
        <v>124.65</v>
      </c>
      <c r="E16" s="42">
        <f>Table15[[#This Row],[Adj Closing]]/D15 - 1</f>
        <v>-5.5843637814119162E-3</v>
      </c>
      <c r="G16" s="54">
        <v>44036</v>
      </c>
      <c r="H16" s="44">
        <v>11073.45</v>
      </c>
      <c r="I16" s="45">
        <f>Table37[[#This Row],[Closing]]/H15 -1</f>
        <v>7.4873084128478595E-2</v>
      </c>
      <c r="J16" s="45"/>
      <c r="K16" s="45" t="s">
        <v>89</v>
      </c>
      <c r="L16" s="53"/>
      <c r="M16">
        <v>1</v>
      </c>
      <c r="N16" s="50"/>
    </row>
    <row r="17" spans="3:14" x14ac:dyDescent="0.3">
      <c r="C17" s="54">
        <v>44066</v>
      </c>
      <c r="D17" s="52">
        <v>139.85</v>
      </c>
      <c r="E17" s="42">
        <f>Table15[[#This Row],[Adj Closing]]/D16 - 1</f>
        <v>0.12194143602085838</v>
      </c>
      <c r="G17" s="54">
        <v>44066</v>
      </c>
      <c r="H17" s="44">
        <v>11387.5</v>
      </c>
      <c r="I17" s="45">
        <f>Table37[[#This Row],[Closing]]/H16 -1</f>
        <v>2.8360628349791472E-2</v>
      </c>
      <c r="J17" s="45"/>
      <c r="K17" s="45" t="s">
        <v>100</v>
      </c>
      <c r="L17" s="53"/>
      <c r="M17" s="7">
        <f>1-M14</f>
        <v>0.25</v>
      </c>
      <c r="N17" s="50"/>
    </row>
    <row r="18" spans="3:14" x14ac:dyDescent="0.3">
      <c r="C18" s="54">
        <v>44096</v>
      </c>
      <c r="D18" s="52">
        <v>133.4</v>
      </c>
      <c r="E18" s="42">
        <f>Table15[[#This Row],[Adj Closing]]/D17 - 1</f>
        <v>-4.6120843761172647E-2</v>
      </c>
      <c r="G18" s="54">
        <v>44096</v>
      </c>
      <c r="H18" s="44">
        <v>11247.55</v>
      </c>
      <c r="I18" s="45">
        <f>Table37[[#This Row],[Closing]]/H17 -1</f>
        <v>-1.2289791437980258E-2</v>
      </c>
      <c r="J18" s="45"/>
      <c r="K18" s="45"/>
      <c r="L18" s="53"/>
      <c r="N18" s="50"/>
    </row>
    <row r="19" spans="3:14" x14ac:dyDescent="0.3">
      <c r="C19" s="54">
        <v>44126</v>
      </c>
      <c r="D19" s="52">
        <v>153.30000000000001</v>
      </c>
      <c r="E19" s="42">
        <f>Table15[[#This Row],[Adj Closing]]/D18 - 1</f>
        <v>0.14917541229385312</v>
      </c>
      <c r="G19" s="54">
        <v>44126</v>
      </c>
      <c r="H19" s="44">
        <v>11642.4</v>
      </c>
      <c r="I19" s="45">
        <f>Table37[[#This Row],[Closing]]/H18 -1</f>
        <v>3.5105422958777721E-2</v>
      </c>
      <c r="J19" s="45"/>
      <c r="K19" s="45" t="s">
        <v>91</v>
      </c>
      <c r="L19" s="53"/>
      <c r="M19" s="9">
        <f>SUMPRODUCT(M16:M17,M13:M14)</f>
        <v>0.99246668771344038</v>
      </c>
      <c r="N19" s="50"/>
    </row>
    <row r="20" spans="3:14" x14ac:dyDescent="0.3">
      <c r="C20" s="54">
        <v>44156</v>
      </c>
      <c r="D20" s="52">
        <v>162.5</v>
      </c>
      <c r="E20" s="42">
        <f>Table15[[#This Row],[Adj Closing]]/D19 - 1</f>
        <v>6.0013046314416174E-2</v>
      </c>
      <c r="G20" s="54">
        <v>44156</v>
      </c>
      <c r="H20" s="44">
        <v>12968.95</v>
      </c>
      <c r="I20" s="45">
        <f>Table37[[#This Row],[Closing]]/H19 -1</f>
        <v>0.11394128358414091</v>
      </c>
      <c r="J20" s="45"/>
      <c r="K20" s="45"/>
      <c r="L20" s="53"/>
      <c r="N20" s="50"/>
    </row>
    <row r="21" spans="3:14" x14ac:dyDescent="0.3">
      <c r="C21" s="54">
        <v>44186</v>
      </c>
      <c r="D21" s="52">
        <v>165.75</v>
      </c>
      <c r="E21" s="42">
        <f>Table15[[#This Row],[Adj Closing]]/D20 - 1</f>
        <v>2.0000000000000018E-2</v>
      </c>
      <c r="G21" s="54">
        <v>44186</v>
      </c>
      <c r="H21" s="44">
        <v>13981.75</v>
      </c>
      <c r="I21" s="45">
        <f>Table37[[#This Row],[Closing]]/H20 -1</f>
        <v>7.8094217342190353E-2</v>
      </c>
      <c r="J21" s="45"/>
      <c r="K21" s="45"/>
      <c r="L21" s="53"/>
      <c r="N21" s="50"/>
    </row>
    <row r="22" spans="3:14" x14ac:dyDescent="0.3">
      <c r="C22" s="54">
        <v>44216</v>
      </c>
      <c r="D22" s="52">
        <v>150.1</v>
      </c>
      <c r="E22" s="42">
        <f>Table15[[#This Row],[Adj Closing]]/D21 - 1</f>
        <v>-9.4419306184012064E-2</v>
      </c>
      <c r="G22" s="54">
        <v>44216</v>
      </c>
      <c r="H22" s="44">
        <v>13634.6</v>
      </c>
      <c r="I22" s="45">
        <f>Table37[[#This Row],[Closing]]/H21 -1</f>
        <v>-2.4828794678777633E-2</v>
      </c>
      <c r="J22" s="45"/>
      <c r="K22" s="45"/>
      <c r="L22" s="53"/>
      <c r="N22" s="50"/>
    </row>
    <row r="23" spans="3:14" x14ac:dyDescent="0.3">
      <c r="C23" s="54">
        <v>44246</v>
      </c>
      <c r="D23" s="52">
        <v>183.75</v>
      </c>
      <c r="E23" s="42">
        <f>Table15[[#This Row],[Adj Closing]]/D22 - 1</f>
        <v>0.22418387741505663</v>
      </c>
      <c r="G23" s="54">
        <v>44246</v>
      </c>
      <c r="H23" s="44">
        <v>14529.15</v>
      </c>
      <c r="I23" s="45">
        <f>Table37[[#This Row],[Closing]]/H22 -1</f>
        <v>6.5608818740557018E-2</v>
      </c>
      <c r="J23" s="45"/>
      <c r="K23" s="45"/>
      <c r="L23" s="53"/>
      <c r="N23" s="50"/>
    </row>
    <row r="24" spans="3:14" x14ac:dyDescent="0.3">
      <c r="C24" s="54">
        <v>44276</v>
      </c>
      <c r="D24" s="52">
        <v>201.25</v>
      </c>
      <c r="E24" s="42">
        <f>Table15[[#This Row],[Adj Closing]]/D23 - 1</f>
        <v>9.5238095238095344E-2</v>
      </c>
      <c r="G24" s="54">
        <v>44276</v>
      </c>
      <c r="H24" s="44">
        <v>14690.7</v>
      </c>
      <c r="I24" s="45">
        <f>Table37[[#This Row],[Closing]]/H23 -1</f>
        <v>1.111902623346861E-2</v>
      </c>
      <c r="J24" s="45"/>
      <c r="K24" s="45"/>
      <c r="L24" s="53"/>
      <c r="N24" s="50"/>
    </row>
    <row r="25" spans="3:14" x14ac:dyDescent="0.3">
      <c r="C25" s="54">
        <v>44306</v>
      </c>
      <c r="D25" s="52">
        <v>175.35</v>
      </c>
      <c r="E25" s="42">
        <f>Table15[[#This Row],[Adj Closing]]/D24 - 1</f>
        <v>-0.1286956521739131</v>
      </c>
      <c r="G25" s="54">
        <v>44306</v>
      </c>
      <c r="H25" s="44">
        <v>14631.1</v>
      </c>
      <c r="I25" s="45">
        <f>Table37[[#This Row],[Closing]]/H24 -1</f>
        <v>-4.0569884348601315E-3</v>
      </c>
      <c r="J25" s="45"/>
      <c r="K25" s="45"/>
      <c r="L25" s="53"/>
      <c r="N25" s="50"/>
    </row>
    <row r="26" spans="3:14" x14ac:dyDescent="0.3">
      <c r="C26" s="54">
        <v>44336</v>
      </c>
      <c r="D26" s="52">
        <v>195.15</v>
      </c>
      <c r="E26" s="42">
        <f>Table15[[#This Row],[Adj Closing]]/D25 - 1</f>
        <v>0.11291702309666385</v>
      </c>
      <c r="G26" s="54">
        <v>44336</v>
      </c>
      <c r="H26" s="44">
        <v>15582.8</v>
      </c>
      <c r="I26" s="45">
        <f>Table37[[#This Row],[Closing]]/H25 -1</f>
        <v>6.5046373820150105E-2</v>
      </c>
      <c r="J26" s="45"/>
      <c r="K26" s="45"/>
      <c r="L26" s="53"/>
      <c r="N26" s="50"/>
    </row>
    <row r="27" spans="3:14" x14ac:dyDescent="0.3">
      <c r="C27" s="54">
        <v>44366</v>
      </c>
      <c r="D27" s="52">
        <v>215.65</v>
      </c>
      <c r="E27" s="42">
        <f>Table15[[#This Row],[Adj Closing]]/D26 - 1</f>
        <v>0.10504739943633101</v>
      </c>
      <c r="G27" s="54">
        <v>44366</v>
      </c>
      <c r="H27" s="44">
        <v>15721.5</v>
      </c>
      <c r="I27" s="45">
        <f>Table37[[#This Row],[Closing]]/H26 -1</f>
        <v>8.9008393870164682E-3</v>
      </c>
      <c r="J27" s="45"/>
      <c r="K27" s="45"/>
      <c r="L27" s="53"/>
      <c r="N27" s="50"/>
    </row>
    <row r="28" spans="3:14" x14ac:dyDescent="0.3">
      <c r="C28" s="54">
        <v>44396</v>
      </c>
      <c r="D28" s="52">
        <v>224.8</v>
      </c>
      <c r="E28" s="42">
        <f>Table15[[#This Row],[Adj Closing]]/D27 - 1</f>
        <v>4.2429863204266116E-2</v>
      </c>
      <c r="G28" s="54">
        <v>44396</v>
      </c>
      <c r="H28" s="44">
        <v>15763.05</v>
      </c>
      <c r="I28" s="45">
        <f>Table37[[#This Row],[Closing]]/H27 -1</f>
        <v>2.6428775880162902E-3</v>
      </c>
      <c r="J28" s="45"/>
      <c r="K28" s="45"/>
      <c r="L28" s="53"/>
      <c r="N28" s="50"/>
    </row>
    <row r="29" spans="3:14" x14ac:dyDescent="0.3">
      <c r="C29" s="54">
        <v>44426</v>
      </c>
      <c r="D29" s="52">
        <v>207.85</v>
      </c>
      <c r="E29" s="42">
        <f>Table15[[#This Row],[Adj Closing]]/D28 - 1</f>
        <v>-7.5400355871886204E-2</v>
      </c>
      <c r="G29" s="54">
        <v>44426</v>
      </c>
      <c r="H29" s="44">
        <v>17132.2</v>
      </c>
      <c r="I29" s="45">
        <f>Table37[[#This Row],[Closing]]/H28 -1</f>
        <v>8.6858190515160638E-2</v>
      </c>
      <c r="J29" s="45"/>
      <c r="K29" s="45"/>
      <c r="L29" s="53"/>
      <c r="N29" s="50"/>
    </row>
    <row r="30" spans="3:14" x14ac:dyDescent="0.3">
      <c r="C30" s="54">
        <v>44456</v>
      </c>
      <c r="D30" s="52">
        <v>246.45</v>
      </c>
      <c r="E30" s="42">
        <f>Table15[[#This Row],[Adj Closing]]/D29 - 1</f>
        <v>0.18571084917007452</v>
      </c>
      <c r="G30" s="54">
        <v>44456</v>
      </c>
      <c r="H30" s="44">
        <v>17618.150000000001</v>
      </c>
      <c r="I30" s="45">
        <f>Table37[[#This Row],[Closing]]/H29 -1</f>
        <v>2.8364716732235173E-2</v>
      </c>
      <c r="J30" s="45"/>
      <c r="K30" s="45"/>
      <c r="L30" s="53"/>
      <c r="N30" s="50"/>
    </row>
    <row r="31" spans="3:14" x14ac:dyDescent="0.3">
      <c r="C31" s="54">
        <v>44486</v>
      </c>
      <c r="D31" s="52">
        <v>262.95</v>
      </c>
      <c r="E31" s="42">
        <f>Table15[[#This Row],[Adj Closing]]/D30 - 1</f>
        <v>6.6950699939135827E-2</v>
      </c>
      <c r="G31" s="54">
        <v>44486</v>
      </c>
      <c r="H31" s="44">
        <v>17671.650000000001</v>
      </c>
      <c r="I31" s="45">
        <f>Table37[[#This Row],[Closing]]/H30 -1</f>
        <v>3.0366411910445201E-3</v>
      </c>
      <c r="J31" s="45"/>
      <c r="K31" s="45"/>
      <c r="L31" s="53"/>
      <c r="N31" s="50"/>
    </row>
    <row r="32" spans="3:14" x14ac:dyDescent="0.3">
      <c r="C32" s="54">
        <v>44516</v>
      </c>
      <c r="D32" s="52">
        <v>255.3</v>
      </c>
      <c r="E32" s="42">
        <f>Table15[[#This Row],[Adj Closing]]/D31 - 1</f>
        <v>-2.9092983456930899E-2</v>
      </c>
      <c r="G32" s="54">
        <v>44516</v>
      </c>
      <c r="H32" s="44">
        <v>16983.2</v>
      </c>
      <c r="I32" s="45">
        <f>Table37[[#This Row],[Closing]]/H31 -1</f>
        <v>-3.8957878862471818E-2</v>
      </c>
      <c r="J32" s="45"/>
      <c r="K32" s="45"/>
      <c r="L32" s="53"/>
      <c r="N32" s="50"/>
    </row>
    <row r="33" spans="3:14" x14ac:dyDescent="0.3">
      <c r="C33" s="54">
        <v>44546</v>
      </c>
      <c r="D33" s="52">
        <v>272.35000000000002</v>
      </c>
      <c r="E33" s="42">
        <f>Table15[[#This Row],[Adj Closing]]/D32 - 1</f>
        <v>6.6784175479827734E-2</v>
      </c>
      <c r="G33" s="54">
        <v>44546</v>
      </c>
      <c r="H33" s="44">
        <v>17354.05</v>
      </c>
      <c r="I33" s="45">
        <f>Table37[[#This Row],[Closing]]/H32 -1</f>
        <v>2.1836285270149247E-2</v>
      </c>
      <c r="J33" s="45"/>
      <c r="K33" s="45"/>
      <c r="L33" s="53"/>
      <c r="N33" s="50"/>
    </row>
    <row r="34" spans="3:14" x14ac:dyDescent="0.3">
      <c r="C34" s="54">
        <v>44576</v>
      </c>
      <c r="D34" s="52">
        <v>293.45</v>
      </c>
      <c r="E34" s="42">
        <f>Table15[[#This Row],[Adj Closing]]/D33 - 1</f>
        <v>7.747383881035419E-2</v>
      </c>
      <c r="G34" s="54">
        <v>44576</v>
      </c>
      <c r="H34" s="44">
        <v>17339.849999999999</v>
      </c>
      <c r="I34" s="45">
        <f>Table37[[#This Row],[Closing]]/H33 -1</f>
        <v>-8.1825279977876253E-4</v>
      </c>
      <c r="J34" s="45"/>
      <c r="K34" s="45"/>
      <c r="L34" s="53"/>
      <c r="N34" s="50"/>
    </row>
    <row r="35" spans="3:14" x14ac:dyDescent="0.3">
      <c r="C35" s="54">
        <v>44606</v>
      </c>
      <c r="D35" s="52">
        <v>269.05</v>
      </c>
      <c r="E35" s="42">
        <f>Table15[[#This Row],[Adj Closing]]/D34 - 1</f>
        <v>-8.3148747657181721E-2</v>
      </c>
      <c r="G35" s="54">
        <v>44606</v>
      </c>
      <c r="H35" s="44">
        <v>16793.900000000001</v>
      </c>
      <c r="I35" s="45">
        <f>Table37[[#This Row],[Closing]]/H34 -1</f>
        <v>-3.1485278131010208E-2</v>
      </c>
      <c r="J35" s="45"/>
      <c r="K35" s="45"/>
      <c r="L35" s="53"/>
      <c r="N35" s="50"/>
    </row>
    <row r="36" spans="3:14" x14ac:dyDescent="0.3">
      <c r="C36" s="54">
        <v>44636</v>
      </c>
      <c r="D36" s="52">
        <v>302</v>
      </c>
      <c r="E36" s="42">
        <f>Table15[[#This Row],[Adj Closing]]/D35 - 1</f>
        <v>0.12246794276156847</v>
      </c>
      <c r="G36" s="54">
        <v>44636</v>
      </c>
      <c r="H36" s="44">
        <v>17464.75</v>
      </c>
      <c r="I36" s="45">
        <f>Table37[[#This Row],[Closing]]/H35 -1</f>
        <v>3.9946051840251462E-2</v>
      </c>
      <c r="J36" s="45"/>
      <c r="K36" s="45"/>
      <c r="L36" s="53"/>
      <c r="N36" s="50"/>
    </row>
    <row r="37" spans="3:14" x14ac:dyDescent="0.3">
      <c r="C37" s="54">
        <v>44666</v>
      </c>
      <c r="D37" s="52">
        <v>285.85000000000002</v>
      </c>
      <c r="E37" s="42">
        <f>Table15[[#This Row],[Adj Closing]]/D36 - 1</f>
        <v>-5.3476821192052881E-2</v>
      </c>
      <c r="G37" s="54">
        <v>44666</v>
      </c>
      <c r="H37" s="44">
        <v>17102.55</v>
      </c>
      <c r="I37" s="45">
        <f>Table37[[#This Row],[Closing]]/H36 -1</f>
        <v>-2.0738916961307807E-2</v>
      </c>
      <c r="J37" s="45"/>
      <c r="K37" s="45"/>
      <c r="L37" s="53"/>
      <c r="N37" s="50"/>
    </row>
    <row r="38" spans="3:14" x14ac:dyDescent="0.3">
      <c r="C38" s="54">
        <v>44696</v>
      </c>
      <c r="D38" s="52">
        <v>270.95</v>
      </c>
      <c r="E38" s="42">
        <f>Table15[[#This Row],[Adj Closing]]/D37 - 1</f>
        <v>-5.2125240510757509E-2</v>
      </c>
      <c r="G38" s="54">
        <v>44696</v>
      </c>
      <c r="H38" s="44">
        <v>16584.55</v>
      </c>
      <c r="I38" s="45">
        <f>Table37[[#This Row],[Closing]]/H37 -1</f>
        <v>-3.0287881046978327E-2</v>
      </c>
      <c r="J38" s="45"/>
      <c r="K38" s="45"/>
      <c r="L38" s="53"/>
      <c r="N38" s="50"/>
    </row>
    <row r="39" spans="3:14" x14ac:dyDescent="0.3">
      <c r="C39" s="54">
        <v>44726</v>
      </c>
      <c r="D39" s="52">
        <v>236.2</v>
      </c>
      <c r="E39" s="42">
        <f>Table15[[#This Row],[Adj Closing]]/D38 - 1</f>
        <v>-0.1282524451005721</v>
      </c>
      <c r="G39" s="54">
        <v>44726</v>
      </c>
      <c r="H39" s="44">
        <v>15780.25</v>
      </c>
      <c r="I39" s="45">
        <f>Table37[[#This Row],[Closing]]/H38 -1</f>
        <v>-4.8496944445281853E-2</v>
      </c>
      <c r="J39" s="45"/>
      <c r="K39" s="45"/>
      <c r="L39" s="53"/>
      <c r="N39" s="50"/>
    </row>
    <row r="40" spans="3:14" x14ac:dyDescent="0.3">
      <c r="C40" s="54">
        <v>44756</v>
      </c>
      <c r="D40" s="52">
        <v>268.7</v>
      </c>
      <c r="E40" s="42">
        <f>Table15[[#This Row],[Adj Closing]]/D39 - 1</f>
        <v>0.13759525825571539</v>
      </c>
      <c r="G40" s="54">
        <v>44756</v>
      </c>
      <c r="H40" s="44">
        <v>17158.25</v>
      </c>
      <c r="I40" s="45">
        <f>Table37[[#This Row],[Closing]]/H39 -1</f>
        <v>8.7324345305048956E-2</v>
      </c>
      <c r="J40" s="45"/>
      <c r="K40" s="45"/>
      <c r="L40" s="53"/>
    </row>
    <row r="41" spans="3:14" x14ac:dyDescent="0.3">
      <c r="C41" s="54">
        <v>44786</v>
      </c>
      <c r="D41" s="52">
        <v>306</v>
      </c>
      <c r="E41" s="42">
        <f>Table15[[#This Row],[Adj Closing]]/D40 - 1</f>
        <v>0.13881652400446609</v>
      </c>
      <c r="G41" s="54">
        <v>44786</v>
      </c>
      <c r="H41" s="44">
        <v>17759.3</v>
      </c>
      <c r="I41" s="45">
        <f>Table37[[#This Row],[Closing]]/H40 -1</f>
        <v>3.5029796162195925E-2</v>
      </c>
      <c r="J41" s="45"/>
      <c r="K41" s="45"/>
    </row>
    <row r="42" spans="3:14" x14ac:dyDescent="0.3">
      <c r="C42" s="54">
        <v>44816</v>
      </c>
      <c r="D42" s="52">
        <v>349.15</v>
      </c>
      <c r="E42" s="42">
        <f>Table15[[#This Row],[Adj Closing]]/D41 - 1</f>
        <v>0.14101307189542478</v>
      </c>
      <c r="G42" s="54">
        <v>44816</v>
      </c>
      <c r="H42" s="44">
        <v>17094.349999999999</v>
      </c>
      <c r="I42" s="45">
        <f>Table37[[#This Row],[Closing]]/H41 -1</f>
        <v>-3.7442354146841383E-2</v>
      </c>
      <c r="J42" s="45"/>
      <c r="K42" s="45"/>
    </row>
    <row r="43" spans="3:14" x14ac:dyDescent="0.3">
      <c r="C43" s="54">
        <v>44846</v>
      </c>
      <c r="D43" s="52">
        <v>353.9</v>
      </c>
      <c r="E43" s="42">
        <f>Table15[[#This Row],[Adj Closing]]/D42 - 1</f>
        <v>1.3604467993699076E-2</v>
      </c>
      <c r="G43" s="54">
        <v>44846</v>
      </c>
      <c r="H43" s="44">
        <v>18012.2</v>
      </c>
      <c r="I43" s="45">
        <f>Table37[[#This Row],[Closing]]/H42 -1</f>
        <v>5.3693179325332796E-2</v>
      </c>
      <c r="J43" s="45"/>
      <c r="K43" s="45"/>
    </row>
    <row r="44" spans="3:14" x14ac:dyDescent="0.3">
      <c r="C44" s="54">
        <v>44876</v>
      </c>
      <c r="D44" s="52">
        <v>314.5</v>
      </c>
      <c r="E44" s="42">
        <f>Table15[[#This Row],[Adj Closing]]/D43 - 1</f>
        <v>-0.11133088443063011</v>
      </c>
      <c r="G44" s="54">
        <v>44876</v>
      </c>
      <c r="H44" s="44">
        <v>18758.349999999999</v>
      </c>
      <c r="I44" s="45">
        <f>Table37[[#This Row],[Closing]]/H43 -1</f>
        <v>4.1424701035964295E-2</v>
      </c>
      <c r="J44" s="45"/>
      <c r="K44" s="45"/>
    </row>
    <row r="45" spans="3:14" x14ac:dyDescent="0.3">
      <c r="C45" s="54">
        <v>44906</v>
      </c>
      <c r="D45" s="52">
        <v>287.5</v>
      </c>
      <c r="E45" s="42">
        <f>Table15[[#This Row],[Adj Closing]]/D44 - 1</f>
        <v>-8.5850556438791692E-2</v>
      </c>
      <c r="G45" s="54">
        <v>44906</v>
      </c>
      <c r="H45" s="44">
        <v>18105.3</v>
      </c>
      <c r="I45" s="45">
        <f>Table37[[#This Row],[Closing]]/H44 -1</f>
        <v>-3.4813829574562805E-2</v>
      </c>
      <c r="J45" s="45"/>
      <c r="K45" s="45"/>
    </row>
    <row r="46" spans="3:14" x14ac:dyDescent="0.3">
      <c r="C46" s="54">
        <v>44936</v>
      </c>
      <c r="D46" s="52">
        <v>256.60000000000002</v>
      </c>
      <c r="E46" s="42">
        <f>Table15[[#This Row],[Adj Closing]]/D45 - 1</f>
        <v>-0.10747826086956513</v>
      </c>
      <c r="G46" s="54">
        <v>44936</v>
      </c>
      <c r="H46" s="44">
        <v>17662.150000000001</v>
      </c>
      <c r="I46" s="45">
        <f>Table37[[#This Row],[Closing]]/H45 -1</f>
        <v>-2.4476258333195111E-2</v>
      </c>
      <c r="J46" s="45"/>
      <c r="K46" s="45"/>
    </row>
    <row r="47" spans="3:14" x14ac:dyDescent="0.3">
      <c r="C47" s="54">
        <v>44966</v>
      </c>
      <c r="D47" s="52">
        <v>229.5</v>
      </c>
      <c r="E47" s="42">
        <f>Table15[[#This Row],[Adj Closing]]/D46 - 1</f>
        <v>-0.10561184723304762</v>
      </c>
      <c r="G47" s="54">
        <v>44966</v>
      </c>
      <c r="H47" s="44">
        <v>17303.95</v>
      </c>
      <c r="I47" s="45">
        <f>Table37[[#This Row],[Closing]]/H46 -1</f>
        <v>-2.0280656658447582E-2</v>
      </c>
      <c r="J47" s="45"/>
      <c r="K47" s="45"/>
    </row>
    <row r="48" spans="3:14" x14ac:dyDescent="0.3">
      <c r="C48" s="54">
        <v>44996</v>
      </c>
      <c r="D48" s="52">
        <v>214.3</v>
      </c>
      <c r="E48" s="42">
        <f>Table15[[#This Row],[Adj Closing]]/D47 - 1</f>
        <v>-6.6230936819172026E-2</v>
      </c>
      <c r="G48" s="54">
        <v>44996</v>
      </c>
      <c r="H48" s="44">
        <v>17359.75</v>
      </c>
      <c r="I48" s="45">
        <f>Table37[[#This Row],[Closing]]/H47 -1</f>
        <v>3.2246972512055549E-3</v>
      </c>
      <c r="J48" s="45"/>
      <c r="K48" s="45"/>
    </row>
    <row r="49" spans="3:11" x14ac:dyDescent="0.3">
      <c r="C49" s="54">
        <v>45026</v>
      </c>
      <c r="D49" s="52">
        <v>222.7</v>
      </c>
      <c r="E49" s="42">
        <f>Table15[[#This Row],[Adj Closing]]/D48 - 1</f>
        <v>3.9197386840877257E-2</v>
      </c>
      <c r="G49" s="54">
        <v>45026</v>
      </c>
      <c r="H49" s="44">
        <v>18065</v>
      </c>
      <c r="I49" s="45">
        <f>Table37[[#This Row],[Closing]]/H48 -1</f>
        <v>4.0625585045867663E-2</v>
      </c>
      <c r="J49" s="45"/>
      <c r="K49" s="45"/>
    </row>
    <row r="50" spans="3:11" x14ac:dyDescent="0.3">
      <c r="C50" s="54">
        <v>45056</v>
      </c>
      <c r="D50" s="52">
        <v>201.1</v>
      </c>
      <c r="E50" s="42">
        <f>Table15[[#This Row],[Adj Closing]]/D49 - 1</f>
        <v>-9.6991468343062381E-2</v>
      </c>
      <c r="G50" s="54">
        <v>45056</v>
      </c>
      <c r="H50" s="44">
        <v>18534.400000000001</v>
      </c>
      <c r="I50" s="45">
        <f>Table37[[#This Row],[Closing]]/H49 -1</f>
        <v>2.5983946858566309E-2</v>
      </c>
      <c r="J50" s="45"/>
      <c r="K50" s="45"/>
    </row>
    <row r="51" spans="3:11" x14ac:dyDescent="0.3">
      <c r="C51" s="54">
        <v>45086</v>
      </c>
      <c r="D51" s="52">
        <v>212.75</v>
      </c>
      <c r="E51" s="42">
        <f>Table15[[#This Row],[Adj Closing]]/D50 - 1</f>
        <v>5.7931377424167207E-2</v>
      </c>
      <c r="G51" s="54">
        <v>45086</v>
      </c>
      <c r="H51" s="44">
        <v>19189.05</v>
      </c>
      <c r="I51" s="45">
        <f>Table37[[#This Row],[Closing]]/H50 -1</f>
        <v>3.5320808874309328E-2</v>
      </c>
      <c r="J51" s="45"/>
      <c r="K51" s="45"/>
    </row>
    <row r="52" spans="3:11" x14ac:dyDescent="0.3">
      <c r="C52" s="54">
        <v>45116</v>
      </c>
      <c r="D52" s="52">
        <v>222.95</v>
      </c>
      <c r="E52" s="42">
        <f>Table15[[#This Row],[Adj Closing]]/D51 - 1</f>
        <v>4.7943595769682767E-2</v>
      </c>
      <c r="G52" s="54">
        <v>45116</v>
      </c>
      <c r="H52" s="44">
        <v>19753.8</v>
      </c>
      <c r="I52" s="45">
        <f>Table37[[#This Row],[Closing]]/H51 -1</f>
        <v>2.9430847280089489E-2</v>
      </c>
      <c r="J52" s="45"/>
      <c r="K52" s="45"/>
    </row>
    <row r="53" spans="3:11" x14ac:dyDescent="0.3">
      <c r="C53" s="54">
        <v>45146</v>
      </c>
      <c r="D53" s="52">
        <v>219.35</v>
      </c>
      <c r="E53" s="42">
        <f>Table15[[#This Row],[Adj Closing]]/D52 - 1</f>
        <v>-1.6147118187934462E-2</v>
      </c>
      <c r="G53" s="54">
        <v>45146</v>
      </c>
      <c r="H53" s="44">
        <v>19253.8</v>
      </c>
      <c r="I53" s="45">
        <f>Table37[[#This Row],[Closing]]/H52 -1</f>
        <v>-2.5311585618969512E-2</v>
      </c>
      <c r="J53" s="45"/>
      <c r="K53" s="45"/>
    </row>
    <row r="54" spans="3:11" x14ac:dyDescent="0.3">
      <c r="C54" s="54">
        <v>45176</v>
      </c>
      <c r="D54" s="52">
        <v>214.6</v>
      </c>
      <c r="E54" s="42">
        <f>Table15[[#This Row],[Adj Closing]]/D53 - 1</f>
        <v>-2.165488944609073E-2</v>
      </c>
      <c r="G54" s="54">
        <v>45176</v>
      </c>
      <c r="H54" s="44">
        <v>19638.3</v>
      </c>
      <c r="I54" s="45">
        <f>Table37[[#This Row],[Closing]]/H53 -1</f>
        <v>1.9970083827608009E-2</v>
      </c>
      <c r="J54" s="45"/>
      <c r="K54" s="45"/>
    </row>
    <row r="55" spans="3:11" x14ac:dyDescent="0.3">
      <c r="C55" s="54">
        <v>45206</v>
      </c>
      <c r="D55" s="52">
        <v>214.6</v>
      </c>
      <c r="E55" s="42">
        <f>Table15[[#This Row],[Adj Closing]]/D54 - 1</f>
        <v>0</v>
      </c>
      <c r="G55" s="54">
        <v>45206</v>
      </c>
      <c r="H55" s="44">
        <v>19079.599999999999</v>
      </c>
      <c r="I55" s="45">
        <f>Table37[[#This Row],[Closing]]/H54 -1</f>
        <v>-2.844950937708457E-2</v>
      </c>
      <c r="J55" s="45"/>
      <c r="K55" s="45"/>
    </row>
    <row r="56" spans="3:11" x14ac:dyDescent="0.3">
      <c r="C56" s="54">
        <v>45236</v>
      </c>
      <c r="D56" s="52">
        <v>231.75</v>
      </c>
      <c r="E56" s="42">
        <f>Table15[[#This Row],[Adj Closing]]/D55 - 1</f>
        <v>7.9916123019571295E-2</v>
      </c>
      <c r="G56" s="54">
        <v>45236</v>
      </c>
      <c r="H56" s="44">
        <v>20133.150000000001</v>
      </c>
      <c r="I56" s="45">
        <f>Table37[[#This Row],[Closing]]/H55 -1</f>
        <v>5.5218662865049728E-2</v>
      </c>
      <c r="J56" s="45"/>
      <c r="K56" s="45"/>
    </row>
    <row r="57" spans="3:11" x14ac:dyDescent="0.3">
      <c r="C57" s="54">
        <v>45266</v>
      </c>
      <c r="D57" s="52">
        <v>223.6</v>
      </c>
      <c r="E57" s="42">
        <f>Table15[[#This Row],[Adj Closing]]/D56 - 1</f>
        <v>-3.5167206040992438E-2</v>
      </c>
      <c r="G57" s="54">
        <v>45266</v>
      </c>
      <c r="H57" s="44">
        <v>21731.4</v>
      </c>
      <c r="I57" s="45">
        <f>Table37[[#This Row],[Closing]]/H56 -1</f>
        <v>7.9384001013254268E-2</v>
      </c>
      <c r="J57" s="45"/>
      <c r="K57" s="45"/>
    </row>
    <row r="58" spans="3:11" x14ac:dyDescent="0.3">
      <c r="C58" s="54">
        <v>45296</v>
      </c>
      <c r="D58" s="52">
        <v>243.95</v>
      </c>
      <c r="E58" s="42">
        <f>Table15[[#This Row],[Adj Closing]]/D57 - 1</f>
        <v>9.1010733452593806E-2</v>
      </c>
      <c r="G58" s="54">
        <v>45296</v>
      </c>
      <c r="H58" s="44">
        <v>21725.7</v>
      </c>
      <c r="I58" s="45">
        <f>Table37[[#This Row],[Closing]]/H57 -1</f>
        <v>-2.6229327148741266E-4</v>
      </c>
      <c r="J58" s="45"/>
      <c r="K58" s="45"/>
    </row>
    <row r="59" spans="3:11" x14ac:dyDescent="0.3">
      <c r="C59" s="54">
        <v>45326</v>
      </c>
      <c r="D59" s="52">
        <v>225.4</v>
      </c>
      <c r="E59" s="42">
        <f>Table15[[#This Row],[Adj Closing]]/D58 - 1</f>
        <v>-7.6040172166427444E-2</v>
      </c>
      <c r="G59" s="54">
        <v>45326</v>
      </c>
      <c r="H59" s="44">
        <v>21982.799999999999</v>
      </c>
      <c r="I59" s="45">
        <f>Table37[[#This Row],[Closing]]/H58 -1</f>
        <v>1.1833910990209695E-2</v>
      </c>
      <c r="J59" s="45"/>
      <c r="K59" s="45"/>
    </row>
    <row r="60" spans="3:11" x14ac:dyDescent="0.3">
      <c r="C60" s="54">
        <v>45356</v>
      </c>
      <c r="D60" s="52">
        <v>205.5</v>
      </c>
      <c r="E60" s="42">
        <f>Table15[[#This Row],[Adj Closing]]/D59 - 1</f>
        <v>-8.8287488908606937E-2</v>
      </c>
      <c r="G60" s="54">
        <v>45356</v>
      </c>
      <c r="H60" s="44">
        <v>22326.9</v>
      </c>
      <c r="I60" s="45">
        <f>Table37[[#This Row],[Closing]]/H59 -1</f>
        <v>1.5653147005840973E-2</v>
      </c>
      <c r="J60" s="45"/>
      <c r="K60" s="45"/>
    </row>
    <row r="61" spans="3:11" x14ac:dyDescent="0.3">
      <c r="C61" s="54">
        <v>45386</v>
      </c>
      <c r="D61" s="52">
        <v>262.95</v>
      </c>
      <c r="E61" s="42">
        <f>Table15[[#This Row],[Adj Closing]]/D60 - 1</f>
        <v>0.27956204379562033</v>
      </c>
      <c r="G61" s="54">
        <v>45386</v>
      </c>
      <c r="H61" s="44">
        <v>22604.85</v>
      </c>
      <c r="I61" s="45">
        <f>Table37[[#This Row],[Closing]]/H60 -1</f>
        <v>1.2449108474530624E-2</v>
      </c>
      <c r="J61" s="45"/>
      <c r="K61" s="45"/>
    </row>
    <row r="62" spans="3:11" x14ac:dyDescent="0.3">
      <c r="C62" s="54">
        <v>45416</v>
      </c>
      <c r="D62" s="52">
        <v>287.7</v>
      </c>
      <c r="E62" s="42">
        <f>Table15[[#This Row],[Adj Closing]]/D61 - 1</f>
        <v>9.4124358243012018E-2</v>
      </c>
      <c r="G62" s="54">
        <v>45416</v>
      </c>
      <c r="H62" s="44">
        <v>22530.7</v>
      </c>
      <c r="I62" s="45">
        <f>Table37[[#This Row],[Closing]]/H61 -1</f>
        <v>-3.2802694996869608E-3</v>
      </c>
      <c r="J62" s="45"/>
      <c r="K62" s="45"/>
    </row>
    <row r="63" spans="3:11" x14ac:dyDescent="0.3">
      <c r="C63" s="54">
        <v>45446</v>
      </c>
      <c r="D63" s="52">
        <v>311.89999999999998</v>
      </c>
      <c r="E63" s="42">
        <f>Table15[[#This Row],[Adj Closing]]/D62 - 1</f>
        <v>8.411539798401102E-2</v>
      </c>
      <c r="G63" s="54">
        <v>45446</v>
      </c>
      <c r="H63" s="44">
        <v>24010.6</v>
      </c>
      <c r="I63" s="45">
        <f>Table37[[#This Row],[Closing]]/H62 -1</f>
        <v>6.5683711558007341E-2</v>
      </c>
      <c r="J63" s="45"/>
      <c r="K63" s="45"/>
    </row>
    <row r="64" spans="3:11" x14ac:dyDescent="0.3">
      <c r="C64" s="54">
        <v>45476</v>
      </c>
      <c r="D64" s="52">
        <v>344.05</v>
      </c>
      <c r="E64" s="42">
        <f>Table15[[#This Row],[Adj Closing]]/D63 - 1</f>
        <v>0.10307790958640606</v>
      </c>
      <c r="G64" s="54">
        <v>45476</v>
      </c>
      <c r="H64" s="44">
        <v>24951.15</v>
      </c>
      <c r="I64" s="45">
        <f>Table37[[#This Row],[Closing]]/H63 -1</f>
        <v>3.917228224200997E-2</v>
      </c>
      <c r="J64" s="45"/>
      <c r="K64" s="45"/>
    </row>
    <row r="65" spans="3:11" x14ac:dyDescent="0.3">
      <c r="C65" s="54">
        <v>45506</v>
      </c>
      <c r="D65" s="52">
        <v>311.60000000000002</v>
      </c>
      <c r="E65" s="42">
        <f>Table15[[#This Row],[Adj Closing]]/D64 - 1</f>
        <v>-9.4317686382793142E-2</v>
      </c>
      <c r="G65" s="54">
        <v>45506</v>
      </c>
      <c r="H65" s="44">
        <v>25235.9</v>
      </c>
      <c r="I65" s="45">
        <f>Table37[[#This Row],[Closing]]/H64 -1</f>
        <v>1.141229963348378E-2</v>
      </c>
      <c r="J65" s="45"/>
      <c r="K65" s="45"/>
    </row>
    <row r="66" spans="3:11" x14ac:dyDescent="0.3">
      <c r="C66" s="54">
        <v>45536</v>
      </c>
      <c r="D66" s="52">
        <v>349.05</v>
      </c>
      <c r="E66" s="42">
        <f>Table15[[#This Row],[Adj Closing]]/D65 - 1</f>
        <v>0.120186136071887</v>
      </c>
      <c r="G66" s="54">
        <v>45536</v>
      </c>
      <c r="H66" s="44">
        <v>25810.85</v>
      </c>
      <c r="I66" s="45">
        <f>Table37[[#This Row],[Closing]]/H65 -1</f>
        <v>2.2783019428670892E-2</v>
      </c>
      <c r="J66" s="45"/>
      <c r="K66" s="45"/>
    </row>
    <row r="67" spans="3:11" x14ac:dyDescent="0.3">
      <c r="C67" s="54">
        <v>45566</v>
      </c>
      <c r="D67" s="52">
        <v>352.25</v>
      </c>
      <c r="E67" s="42">
        <f>Table15[[#This Row],[Adj Closing]]/D66 - 1</f>
        <v>9.1677410113164548E-3</v>
      </c>
      <c r="G67" s="54">
        <v>45566</v>
      </c>
      <c r="H67" s="44">
        <v>25796.9</v>
      </c>
      <c r="I67" s="45">
        <f>Table37[[#This Row],[Closing]]/H66 -1</f>
        <v>-5.4047038357885047E-4</v>
      </c>
      <c r="J67" s="45"/>
      <c r="K67" s="45"/>
    </row>
    <row r="68" spans="3:11" x14ac:dyDescent="0.3">
      <c r="C68" s="40"/>
      <c r="D68" s="41"/>
      <c r="E68" s="42"/>
      <c r="G68" s="54"/>
      <c r="H68" s="45"/>
      <c r="J68" s="45"/>
      <c r="K68" s="45"/>
    </row>
    <row r="69" spans="3:11" x14ac:dyDescent="0.3">
      <c r="G69" s="54"/>
    </row>
    <row r="70" spans="3:11" x14ac:dyDescent="0.3">
      <c r="G70" s="54"/>
    </row>
    <row r="71" spans="3:11" x14ac:dyDescent="0.3">
      <c r="G71" s="54"/>
    </row>
    <row r="72" spans="3:11" x14ac:dyDescent="0.3">
      <c r="G72" s="54"/>
    </row>
    <row r="73" spans="3:11" x14ac:dyDescent="0.3">
      <c r="G73" s="54"/>
    </row>
    <row r="74" spans="3:11" x14ac:dyDescent="0.3">
      <c r="G74" s="54"/>
    </row>
    <row r="75" spans="3:11" x14ac:dyDescent="0.3">
      <c r="G75" s="54"/>
    </row>
    <row r="76" spans="3:11" x14ac:dyDescent="0.3">
      <c r="G76" s="54"/>
    </row>
    <row r="77" spans="3:11" x14ac:dyDescent="0.3">
      <c r="G77" s="54"/>
    </row>
    <row r="78" spans="3:11" x14ac:dyDescent="0.3">
      <c r="G78" s="54"/>
    </row>
    <row r="79" spans="3:11" x14ac:dyDescent="0.3">
      <c r="G79" s="54"/>
    </row>
    <row r="80" spans="3:11" x14ac:dyDescent="0.3">
      <c r="G80" s="54"/>
    </row>
    <row r="81" spans="7:17" x14ac:dyDescent="0.3">
      <c r="G81" s="54"/>
    </row>
    <row r="82" spans="7:17" x14ac:dyDescent="0.3">
      <c r="G82" s="54"/>
    </row>
    <row r="94" spans="7:17" x14ac:dyDescent="0.3">
      <c r="O94" s="54"/>
      <c r="Q94" s="53"/>
    </row>
    <row r="95" spans="7:17" x14ac:dyDescent="0.3">
      <c r="O95" s="54"/>
      <c r="Q95" s="53"/>
    </row>
    <row r="96" spans="7:17" x14ac:dyDescent="0.3">
      <c r="O96" s="54"/>
      <c r="Q96" s="53"/>
    </row>
    <row r="97" spans="15:17" x14ac:dyDescent="0.3">
      <c r="O97" s="54"/>
      <c r="Q97" s="53"/>
    </row>
    <row r="98" spans="15:17" x14ac:dyDescent="0.3">
      <c r="O98" s="54"/>
      <c r="Q98" s="53"/>
    </row>
    <row r="99" spans="15:17" x14ac:dyDescent="0.3">
      <c r="O99" s="54"/>
      <c r="Q99" s="53"/>
    </row>
    <row r="100" spans="15:17" x14ac:dyDescent="0.3">
      <c r="O100" s="54"/>
      <c r="Q100" s="53"/>
    </row>
    <row r="101" spans="15:17" x14ac:dyDescent="0.3">
      <c r="O101" s="54"/>
      <c r="Q101" s="53"/>
    </row>
    <row r="102" spans="15:17" x14ac:dyDescent="0.3">
      <c r="O102" s="54"/>
      <c r="Q102" s="53"/>
    </row>
    <row r="103" spans="15:17" x14ac:dyDescent="0.3">
      <c r="O103" s="54"/>
      <c r="Q103" s="53"/>
    </row>
    <row r="104" spans="15:17" x14ac:dyDescent="0.3">
      <c r="O104" s="54"/>
      <c r="Q104" s="53"/>
    </row>
    <row r="105" spans="15:17" x14ac:dyDescent="0.3">
      <c r="O105" s="54"/>
      <c r="Q105" s="53"/>
    </row>
    <row r="106" spans="15:17" x14ac:dyDescent="0.3">
      <c r="O106" s="54"/>
      <c r="Q106" s="53"/>
    </row>
    <row r="107" spans="15:17" x14ac:dyDescent="0.3">
      <c r="O107" s="54"/>
      <c r="Q107" s="53"/>
    </row>
    <row r="108" spans="15:17" x14ac:dyDescent="0.3">
      <c r="O108" s="54"/>
      <c r="Q108" s="53"/>
    </row>
    <row r="109" spans="15:17" x14ac:dyDescent="0.3">
      <c r="O109" s="54"/>
      <c r="Q109" s="53"/>
    </row>
    <row r="110" spans="15:17" x14ac:dyDescent="0.3">
      <c r="O110" s="54"/>
      <c r="Q110" s="53"/>
    </row>
    <row r="111" spans="15:17" x14ac:dyDescent="0.3">
      <c r="O111" s="54"/>
      <c r="Q111" s="53"/>
    </row>
    <row r="112" spans="15:17" x14ac:dyDescent="0.3">
      <c r="O112" s="54"/>
      <c r="Q112" s="53"/>
    </row>
    <row r="113" spans="15:17" x14ac:dyDescent="0.3">
      <c r="O113" s="54"/>
      <c r="Q113" s="53"/>
    </row>
    <row r="114" spans="15:17" x14ac:dyDescent="0.3">
      <c r="O114" s="54"/>
      <c r="Q114" s="53"/>
    </row>
    <row r="115" spans="15:17" x14ac:dyDescent="0.3">
      <c r="Q115" s="53"/>
    </row>
    <row r="116" spans="15:17" x14ac:dyDescent="0.3">
      <c r="Q116" s="53"/>
    </row>
    <row r="117" spans="15:17" x14ac:dyDescent="0.3">
      <c r="Q117" s="53"/>
    </row>
    <row r="118" spans="15:17" x14ac:dyDescent="0.3">
      <c r="Q118" s="53"/>
    </row>
    <row r="119" spans="15:17" x14ac:dyDescent="0.3">
      <c r="Q119" s="53"/>
    </row>
    <row r="120" spans="15:17" x14ac:dyDescent="0.3">
      <c r="Q120" s="53"/>
    </row>
    <row r="121" spans="15:17" x14ac:dyDescent="0.3">
      <c r="Q121" s="53"/>
    </row>
    <row r="122" spans="15:17" x14ac:dyDescent="0.3">
      <c r="Q122" s="53"/>
    </row>
    <row r="123" spans="15:17" x14ac:dyDescent="0.3">
      <c r="Q123" s="53"/>
    </row>
    <row r="124" spans="15:17" x14ac:dyDescent="0.3">
      <c r="Q124" s="53"/>
    </row>
    <row r="125" spans="15:17" x14ac:dyDescent="0.3">
      <c r="Q125" s="53"/>
    </row>
    <row r="126" spans="15:17" x14ac:dyDescent="0.3">
      <c r="Q126" s="53"/>
    </row>
    <row r="127" spans="15:17" x14ac:dyDescent="0.3">
      <c r="Q127" s="53"/>
    </row>
    <row r="128" spans="15:17" x14ac:dyDescent="0.3">
      <c r="Q128" s="53"/>
    </row>
    <row r="129" spans="17:17" x14ac:dyDescent="0.3">
      <c r="Q129" s="53"/>
    </row>
    <row r="130" spans="17:17" x14ac:dyDescent="0.3">
      <c r="Q130" s="53"/>
    </row>
    <row r="131" spans="17:17" x14ac:dyDescent="0.3">
      <c r="Q131" s="53"/>
    </row>
  </sheetData>
  <dataConsolidate/>
  <mergeCells count="5">
    <mergeCell ref="C6:E6"/>
    <mergeCell ref="G6:I6"/>
    <mergeCell ref="K6:M6"/>
    <mergeCell ref="K11:M11"/>
    <mergeCell ref="C2:M4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E0F3-2F5C-48F2-A535-D26F2F55295A}">
  <dimension ref="C1:U123"/>
  <sheetViews>
    <sheetView zoomScale="55" zoomScaleNormal="55" workbookViewId="0">
      <selection activeCell="O26" sqref="O26"/>
    </sheetView>
  </sheetViews>
  <sheetFormatPr defaultRowHeight="14.4" x14ac:dyDescent="0.3"/>
  <cols>
    <col min="1" max="1" width="1.77734375" customWidth="1"/>
    <col min="3" max="3" width="16.5546875" customWidth="1"/>
    <col min="4" max="4" width="13.21875" customWidth="1"/>
    <col min="5" max="5" width="22.44140625" customWidth="1"/>
    <col min="7" max="7" width="13.88671875" customWidth="1"/>
    <col min="8" max="9" width="15.5546875" customWidth="1"/>
    <col min="10" max="10" width="16.88671875" bestFit="1" customWidth="1"/>
    <col min="11" max="11" width="15.5546875" customWidth="1"/>
    <col min="12" max="12" width="10.33203125" bestFit="1" customWidth="1"/>
    <col min="14" max="14" width="17.6640625" customWidth="1"/>
    <col min="15" max="15" width="10.33203125" customWidth="1"/>
    <col min="17" max="17" width="11.33203125" bestFit="1" customWidth="1"/>
  </cols>
  <sheetData>
    <row r="1" spans="3:14" x14ac:dyDescent="0.3">
      <c r="J1" t="s">
        <v>87</v>
      </c>
      <c r="K1" t="s">
        <v>88</v>
      </c>
    </row>
    <row r="2" spans="3:14" ht="14.25" customHeight="1" x14ac:dyDescent="0.3">
      <c r="C2" s="69" t="s">
        <v>60</v>
      </c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3:14" ht="14.25" customHeight="1" x14ac:dyDescent="0.3"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3:14" ht="14.25" customHeight="1" x14ac:dyDescent="0.3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6" spans="3:14" ht="15" customHeight="1" x14ac:dyDescent="0.6">
      <c r="C6" s="68" t="s">
        <v>101</v>
      </c>
      <c r="D6" s="68"/>
      <c r="E6" s="68"/>
      <c r="F6" s="46"/>
      <c r="G6" s="67" t="s">
        <v>61</v>
      </c>
      <c r="H6" s="67"/>
      <c r="I6" s="67"/>
      <c r="K6" s="67" t="s">
        <v>98</v>
      </c>
      <c r="L6" s="67"/>
      <c r="M6" s="67"/>
      <c r="N6" s="48"/>
    </row>
    <row r="7" spans="3:14" x14ac:dyDescent="0.3">
      <c r="C7" t="s">
        <v>93</v>
      </c>
      <c r="D7" t="s">
        <v>94</v>
      </c>
      <c r="E7" t="s">
        <v>95</v>
      </c>
      <c r="G7" t="s">
        <v>59</v>
      </c>
      <c r="H7" t="s">
        <v>96</v>
      </c>
      <c r="I7" t="s">
        <v>97</v>
      </c>
      <c r="N7" s="49"/>
    </row>
    <row r="8" spans="3:14" x14ac:dyDescent="0.3">
      <c r="C8" s="54">
        <v>43796</v>
      </c>
      <c r="D8" s="52"/>
      <c r="E8" s="42"/>
      <c r="G8" s="54">
        <v>43796</v>
      </c>
      <c r="H8" s="44">
        <v>12056.05</v>
      </c>
      <c r="K8" t="s">
        <v>50</v>
      </c>
      <c r="L8" s="47">
        <f>SLOPE(E35:E67,I35:I67)</f>
        <v>0.53920074241703742</v>
      </c>
      <c r="N8" s="50"/>
    </row>
    <row r="9" spans="3:14" x14ac:dyDescent="0.3">
      <c r="C9" s="54">
        <v>43826</v>
      </c>
      <c r="D9" s="52"/>
      <c r="E9" s="42">
        <f>IFERROR(Table158[[#This Row],[Adj Closing]]/D8 - 1,0)</f>
        <v>0</v>
      </c>
      <c r="G9" s="54">
        <v>43826</v>
      </c>
      <c r="H9" s="44">
        <v>12168.45</v>
      </c>
      <c r="I9" s="45">
        <f>Table379[[#This Row],[Closing]]/H8 -1</f>
        <v>9.3231199273395848E-3</v>
      </c>
      <c r="K9" t="s">
        <v>92</v>
      </c>
      <c r="L9" s="47">
        <f>_xlfn.COVARIANCE.S(E35:E67,I35:I67)/_xlfn.VAR.S(I35:I67)</f>
        <v>0.53920074241703764</v>
      </c>
      <c r="N9" s="50"/>
    </row>
    <row r="10" spans="3:14" x14ac:dyDescent="0.3">
      <c r="C10" s="54">
        <v>43856</v>
      </c>
      <c r="D10" s="52"/>
      <c r="E10" s="42">
        <f>IFERROR(Table158[[#This Row],[Adj Closing]]/D9 - 1,0)</f>
        <v>0</v>
      </c>
      <c r="G10" s="54">
        <v>43856</v>
      </c>
      <c r="H10" s="44">
        <v>11962.1</v>
      </c>
      <c r="I10" s="45">
        <f>Table379[[#This Row],[Closing]]/H9 -1</f>
        <v>-1.6957788378963667E-2</v>
      </c>
      <c r="L10" s="53"/>
      <c r="N10" s="50"/>
    </row>
    <row r="11" spans="3:14" ht="13.95" customHeight="1" x14ac:dyDescent="0.3">
      <c r="C11" s="54">
        <v>43886</v>
      </c>
      <c r="D11" s="52"/>
      <c r="E11" s="42">
        <f>IFERROR(Table158[[#This Row],[Adj Closing]]/D10 - 1,0)</f>
        <v>0</v>
      </c>
      <c r="G11" s="54">
        <v>43886</v>
      </c>
      <c r="H11" s="44">
        <v>11201.75</v>
      </c>
      <c r="I11" s="45">
        <f>Table379[[#This Row],[Closing]]/H10 -1</f>
        <v>-6.3563253943705544E-2</v>
      </c>
      <c r="K11" s="67" t="s">
        <v>99</v>
      </c>
      <c r="L11" s="67"/>
      <c r="M11" s="67"/>
      <c r="N11" s="50"/>
    </row>
    <row r="12" spans="3:14" x14ac:dyDescent="0.3">
      <c r="C12" s="54">
        <v>43916</v>
      </c>
      <c r="D12" s="52"/>
      <c r="E12" s="42">
        <f>IFERROR(Table158[[#This Row],[Adj Closing]]/D11 - 1,0)</f>
        <v>0</v>
      </c>
      <c r="G12" s="54">
        <v>43916</v>
      </c>
      <c r="H12" s="44">
        <v>8597.75</v>
      </c>
      <c r="I12" s="45">
        <f>Table379[[#This Row],[Closing]]/H11 -1</f>
        <v>-0.23246367755038277</v>
      </c>
      <c r="L12" s="53"/>
      <c r="N12" s="50"/>
    </row>
    <row r="13" spans="3:14" x14ac:dyDescent="0.3">
      <c r="C13" s="54">
        <v>43946</v>
      </c>
      <c r="D13" s="52"/>
      <c r="E13" s="42">
        <f>IFERROR(Table158[[#This Row],[Adj Closing]]/D12 - 1,0)</f>
        <v>0</v>
      </c>
      <c r="G13" s="54">
        <v>43946</v>
      </c>
      <c r="H13" s="44">
        <v>9859.9</v>
      </c>
      <c r="I13" s="45">
        <f>Table379[[#This Row],[Closing]]/H12 -1</f>
        <v>0.14680003489284976</v>
      </c>
      <c r="K13" t="s">
        <v>87</v>
      </c>
      <c r="L13" s="53"/>
      <c r="M13" s="9">
        <f>L8</f>
        <v>0.53920074241703742</v>
      </c>
      <c r="N13" s="50"/>
    </row>
    <row r="14" spans="3:14" x14ac:dyDescent="0.3">
      <c r="C14" s="54">
        <v>43976</v>
      </c>
      <c r="D14" s="52"/>
      <c r="E14" s="42">
        <f>IFERROR(Table158[[#This Row],[Adj Closing]]/D13 - 1,0)</f>
        <v>0</v>
      </c>
      <c r="G14" s="54">
        <v>43976</v>
      </c>
      <c r="H14" s="44">
        <v>9580.2999999999993</v>
      </c>
      <c r="I14" s="45">
        <f>Table379[[#This Row],[Closing]]/H13 -1</f>
        <v>-2.8357285570847601E-2</v>
      </c>
      <c r="K14" t="s">
        <v>90</v>
      </c>
      <c r="L14" s="53"/>
      <c r="M14" s="7">
        <v>0.75</v>
      </c>
      <c r="N14" s="50"/>
    </row>
    <row r="15" spans="3:14" x14ac:dyDescent="0.3">
      <c r="C15" s="54">
        <v>44006</v>
      </c>
      <c r="D15" s="52"/>
      <c r="E15" s="42">
        <f>IFERROR(Table158[[#This Row],[Adj Closing]]/D14 - 1,0)</f>
        <v>0</v>
      </c>
      <c r="G15" s="54">
        <v>44006</v>
      </c>
      <c r="H15" s="44">
        <v>10302.1</v>
      </c>
      <c r="I15" s="45">
        <f>Table379[[#This Row],[Closing]]/H14 -1</f>
        <v>7.5342108284709441E-2</v>
      </c>
      <c r="J15" s="45"/>
      <c r="K15" s="45"/>
      <c r="L15" s="53"/>
      <c r="N15" s="50"/>
    </row>
    <row r="16" spans="3:14" x14ac:dyDescent="0.3">
      <c r="C16" s="54">
        <v>44036</v>
      </c>
      <c r="D16" s="52"/>
      <c r="E16" s="42">
        <f>IFERROR(Table158[[#This Row],[Adj Closing]]/D15 - 1,0)</f>
        <v>0</v>
      </c>
      <c r="G16" s="54">
        <v>44036</v>
      </c>
      <c r="H16" s="44">
        <v>11073.45</v>
      </c>
      <c r="I16" s="45">
        <f>Table379[[#This Row],[Closing]]/H15 -1</f>
        <v>7.4873084128478595E-2</v>
      </c>
      <c r="J16" s="45"/>
      <c r="K16" s="45" t="s">
        <v>89</v>
      </c>
      <c r="L16" s="53"/>
      <c r="M16">
        <v>1</v>
      </c>
      <c r="N16" s="50"/>
    </row>
    <row r="17" spans="3:21" x14ac:dyDescent="0.3">
      <c r="C17" s="54">
        <v>44066</v>
      </c>
      <c r="D17" s="52"/>
      <c r="E17" s="42">
        <f>IFERROR(Table158[[#This Row],[Adj Closing]]/D16 - 1,0)</f>
        <v>0</v>
      </c>
      <c r="G17" s="54">
        <v>44066</v>
      </c>
      <c r="H17" s="44">
        <v>11387.5</v>
      </c>
      <c r="I17" s="45">
        <f>Table379[[#This Row],[Closing]]/H16 -1</f>
        <v>2.8360628349791472E-2</v>
      </c>
      <c r="J17" s="45"/>
      <c r="K17" s="45" t="s">
        <v>100</v>
      </c>
      <c r="L17" s="53"/>
      <c r="M17" s="7">
        <f>1-M14</f>
        <v>0.25</v>
      </c>
      <c r="N17" s="50"/>
    </row>
    <row r="18" spans="3:21" x14ac:dyDescent="0.3">
      <c r="C18" s="54">
        <v>44096</v>
      </c>
      <c r="D18" s="52"/>
      <c r="E18" s="42">
        <f>IFERROR(Table158[[#This Row],[Adj Closing]]/D17 - 1,0)</f>
        <v>0</v>
      </c>
      <c r="G18" s="54">
        <v>44096</v>
      </c>
      <c r="H18" s="44">
        <v>11247.55</v>
      </c>
      <c r="I18" s="45">
        <f>Table379[[#This Row],[Closing]]/H17 -1</f>
        <v>-1.2289791437980258E-2</v>
      </c>
      <c r="J18" s="45"/>
      <c r="K18" s="45"/>
      <c r="L18" s="53"/>
      <c r="N18" s="50"/>
    </row>
    <row r="19" spans="3:21" x14ac:dyDescent="0.3">
      <c r="C19" s="54">
        <v>44126</v>
      </c>
      <c r="D19" s="52"/>
      <c r="E19" s="42">
        <f>IFERROR(Table158[[#This Row],[Adj Closing]]/D18 - 1,0)</f>
        <v>0</v>
      </c>
      <c r="G19" s="54">
        <v>44126</v>
      </c>
      <c r="H19" s="44">
        <v>11642.4</v>
      </c>
      <c r="I19" s="45">
        <f>Table379[[#This Row],[Closing]]/H18 -1</f>
        <v>3.5105422958777721E-2</v>
      </c>
      <c r="J19" s="45"/>
      <c r="K19" s="45" t="s">
        <v>91</v>
      </c>
      <c r="L19" s="53"/>
      <c r="M19" s="9">
        <f>SUMPRODUCT(M16:M17,M13:M14)</f>
        <v>0.72670074241703742</v>
      </c>
      <c r="N19" s="50"/>
    </row>
    <row r="20" spans="3:21" x14ac:dyDescent="0.3">
      <c r="C20" s="54">
        <v>44156</v>
      </c>
      <c r="D20" s="52"/>
      <c r="E20" s="42">
        <f>IFERROR(Table158[[#This Row],[Adj Closing]]/D19 - 1,0)</f>
        <v>0</v>
      </c>
      <c r="G20" s="54">
        <v>44156</v>
      </c>
      <c r="H20" s="44">
        <v>12968.95</v>
      </c>
      <c r="I20" s="45">
        <f>Table379[[#This Row],[Closing]]/H19 -1</f>
        <v>0.11394128358414091</v>
      </c>
      <c r="J20" s="45"/>
      <c r="K20" s="45"/>
      <c r="L20" s="53"/>
      <c r="N20" s="50"/>
    </row>
    <row r="21" spans="3:21" x14ac:dyDescent="0.3">
      <c r="C21" s="54">
        <v>44186</v>
      </c>
      <c r="D21" s="52"/>
      <c r="E21" s="42">
        <f>IFERROR(Table158[[#This Row],[Adj Closing]]/D20 - 1,0)</f>
        <v>0</v>
      </c>
      <c r="G21" s="54">
        <v>44186</v>
      </c>
      <c r="H21" s="44">
        <v>13981.75</v>
      </c>
      <c r="I21" s="45">
        <f>Table379[[#This Row],[Closing]]/H20 -1</f>
        <v>7.8094217342190353E-2</v>
      </c>
      <c r="J21" s="45"/>
      <c r="K21" s="45"/>
      <c r="L21" s="53"/>
      <c r="N21" s="50"/>
    </row>
    <row r="22" spans="3:21" x14ac:dyDescent="0.3">
      <c r="C22" s="54">
        <v>44216</v>
      </c>
      <c r="D22" s="52"/>
      <c r="E22" s="42">
        <f>IFERROR(Table158[[#This Row],[Adj Closing]]/D21 - 1,0)</f>
        <v>0</v>
      </c>
      <c r="G22" s="54">
        <v>44216</v>
      </c>
      <c r="H22" s="44">
        <v>13634.6</v>
      </c>
      <c r="I22" s="45">
        <f>Table379[[#This Row],[Closing]]/H21 -1</f>
        <v>-2.4828794678777633E-2</v>
      </c>
      <c r="J22" s="45"/>
      <c r="K22" s="45"/>
      <c r="L22" s="53"/>
      <c r="N22" s="50"/>
    </row>
    <row r="23" spans="3:21" x14ac:dyDescent="0.3">
      <c r="C23" s="54">
        <v>44246</v>
      </c>
      <c r="D23" s="52"/>
      <c r="E23" s="42">
        <f>IFERROR(Table158[[#This Row],[Adj Closing]]/D22 - 1,0)</f>
        <v>0</v>
      </c>
      <c r="G23" s="54">
        <v>44246</v>
      </c>
      <c r="H23" s="44">
        <v>14529.15</v>
      </c>
      <c r="I23" s="45">
        <f>Table379[[#This Row],[Closing]]/H22 -1</f>
        <v>6.5608818740557018E-2</v>
      </c>
      <c r="J23" s="45"/>
      <c r="K23" s="45"/>
      <c r="L23" s="53"/>
      <c r="N23" s="50"/>
      <c r="O23" s="48"/>
    </row>
    <row r="24" spans="3:21" x14ac:dyDescent="0.3">
      <c r="C24" s="54">
        <v>44276</v>
      </c>
      <c r="D24" s="52"/>
      <c r="E24" s="42">
        <f>IFERROR(Table158[[#This Row],[Adj Closing]]/D23 - 1,0)</f>
        <v>0</v>
      </c>
      <c r="G24" s="54">
        <v>44276</v>
      </c>
      <c r="H24" s="44">
        <v>14690.7</v>
      </c>
      <c r="I24" s="45">
        <f>Table379[[#This Row],[Closing]]/H23 -1</f>
        <v>1.111902623346861E-2</v>
      </c>
      <c r="J24" s="45"/>
      <c r="K24" s="45"/>
      <c r="L24" s="53"/>
      <c r="N24" s="50"/>
      <c r="O24" s="49"/>
      <c r="P24" s="43"/>
      <c r="Q24" s="43"/>
      <c r="R24" s="43"/>
      <c r="S24" s="43"/>
      <c r="T24" s="43"/>
      <c r="U24" s="43"/>
    </row>
    <row r="25" spans="3:21" x14ac:dyDescent="0.3">
      <c r="C25" s="54">
        <v>44306</v>
      </c>
      <c r="D25" s="52"/>
      <c r="E25" s="42">
        <f>IFERROR(Table158[[#This Row],[Adj Closing]]/D24 - 1,0)</f>
        <v>0</v>
      </c>
      <c r="G25" s="54">
        <v>44306</v>
      </c>
      <c r="H25" s="44">
        <v>14631.1</v>
      </c>
      <c r="I25" s="45">
        <f>Table379[[#This Row],[Closing]]/H24 -1</f>
        <v>-4.0569884348601315E-3</v>
      </c>
      <c r="J25" s="45"/>
      <c r="K25" s="45"/>
      <c r="L25" s="53"/>
      <c r="N25" s="50"/>
      <c r="O25" s="50"/>
      <c r="P25" s="44"/>
      <c r="Q25" s="44"/>
      <c r="R25" s="44"/>
      <c r="S25" s="44"/>
      <c r="T25" s="44"/>
      <c r="U25" s="51"/>
    </row>
    <row r="26" spans="3:21" x14ac:dyDescent="0.3">
      <c r="C26" s="54">
        <v>44336</v>
      </c>
      <c r="D26" s="52"/>
      <c r="E26" s="42">
        <f>IFERROR(Table158[[#This Row],[Adj Closing]]/D25 - 1,0)</f>
        <v>0</v>
      </c>
      <c r="G26" s="54">
        <v>44336</v>
      </c>
      <c r="H26" s="44">
        <v>15582.8</v>
      </c>
      <c r="I26" s="45">
        <f>Table379[[#This Row],[Closing]]/H25 -1</f>
        <v>6.5046373820150105E-2</v>
      </c>
      <c r="J26" s="45"/>
      <c r="K26" s="45"/>
      <c r="L26" s="53"/>
      <c r="N26" s="50"/>
      <c r="O26" s="50"/>
      <c r="P26" s="44"/>
      <c r="Q26" s="44"/>
      <c r="R26" s="44"/>
      <c r="S26" s="44"/>
      <c r="T26" s="44"/>
      <c r="U26" s="51"/>
    </row>
    <row r="27" spans="3:21" x14ac:dyDescent="0.3">
      <c r="C27" s="54">
        <v>44366</v>
      </c>
      <c r="D27" s="52"/>
      <c r="E27" s="42">
        <f>IFERROR(Table158[[#This Row],[Adj Closing]]/D26 - 1,0)</f>
        <v>0</v>
      </c>
      <c r="G27" s="54">
        <v>44366</v>
      </c>
      <c r="H27" s="44">
        <v>15721.5</v>
      </c>
      <c r="I27" s="45">
        <f>Table379[[#This Row],[Closing]]/H26 -1</f>
        <v>8.9008393870164682E-3</v>
      </c>
      <c r="J27" s="45"/>
      <c r="K27" s="45"/>
      <c r="L27" s="53"/>
      <c r="N27" s="50"/>
      <c r="O27" s="50"/>
      <c r="P27" s="44"/>
      <c r="Q27" s="44"/>
      <c r="R27" s="44"/>
      <c r="S27" s="44"/>
      <c r="T27" s="44"/>
      <c r="U27" s="51"/>
    </row>
    <row r="28" spans="3:21" x14ac:dyDescent="0.3">
      <c r="C28" s="54">
        <v>44396</v>
      </c>
      <c r="D28" s="52"/>
      <c r="E28" s="42">
        <f>IFERROR(Table158[[#This Row],[Adj Closing]]/D27 - 1,0)</f>
        <v>0</v>
      </c>
      <c r="G28" s="54">
        <v>44396</v>
      </c>
      <c r="H28" s="44">
        <v>15763.05</v>
      </c>
      <c r="I28" s="45">
        <f>Table379[[#This Row],[Closing]]/H27 -1</f>
        <v>2.6428775880162902E-3</v>
      </c>
      <c r="J28" s="45"/>
      <c r="K28" s="45"/>
      <c r="L28" s="53"/>
      <c r="N28" s="50"/>
      <c r="O28" s="50"/>
      <c r="P28" s="44"/>
      <c r="Q28" s="44"/>
      <c r="R28" s="44"/>
      <c r="S28" s="44"/>
      <c r="T28" s="44"/>
      <c r="U28" s="51"/>
    </row>
    <row r="29" spans="3:21" x14ac:dyDescent="0.3">
      <c r="C29" s="54">
        <v>44426</v>
      </c>
      <c r="D29" s="52"/>
      <c r="E29" s="42">
        <f>IFERROR(Table158[[#This Row],[Adj Closing]]/D28 - 1,0)</f>
        <v>0</v>
      </c>
      <c r="G29" s="54">
        <v>44426</v>
      </c>
      <c r="H29" s="44">
        <v>17132.2</v>
      </c>
      <c r="I29" s="45">
        <f>Table379[[#This Row],[Closing]]/H28 -1</f>
        <v>8.6858190515160638E-2</v>
      </c>
      <c r="J29" s="45"/>
      <c r="K29" s="45"/>
      <c r="L29" s="53"/>
      <c r="N29" s="50"/>
      <c r="O29" s="50"/>
      <c r="P29" s="44"/>
      <c r="Q29" s="44"/>
      <c r="R29" s="52"/>
      <c r="S29" s="44"/>
      <c r="T29" s="44"/>
      <c r="U29" s="51"/>
    </row>
    <row r="30" spans="3:21" x14ac:dyDescent="0.3">
      <c r="C30" s="54">
        <v>44456</v>
      </c>
      <c r="D30" s="52"/>
      <c r="E30" s="42">
        <f>IFERROR(Table158[[#This Row],[Adj Closing]]/D29 - 1,0)</f>
        <v>0</v>
      </c>
      <c r="G30" s="54">
        <v>44456</v>
      </c>
      <c r="H30" s="44">
        <v>17618.150000000001</v>
      </c>
      <c r="I30" s="45">
        <f>Table379[[#This Row],[Closing]]/H29 -1</f>
        <v>2.8364716732235173E-2</v>
      </c>
      <c r="J30" s="45"/>
      <c r="K30" s="45"/>
      <c r="L30" s="53"/>
      <c r="N30" s="50"/>
      <c r="O30" s="50"/>
      <c r="P30" s="44"/>
      <c r="Q30" s="44"/>
      <c r="R30" s="44"/>
      <c r="S30" s="44"/>
      <c r="T30" s="44"/>
      <c r="U30" s="51"/>
    </row>
    <row r="31" spans="3:21" x14ac:dyDescent="0.3">
      <c r="C31" s="54">
        <v>44486</v>
      </c>
      <c r="D31" s="52"/>
      <c r="E31" s="42">
        <f>IFERROR(Table158[[#This Row],[Adj Closing]]/D30 - 1,0)</f>
        <v>0</v>
      </c>
      <c r="G31" s="54">
        <v>44486</v>
      </c>
      <c r="H31" s="44">
        <v>17671.650000000001</v>
      </c>
      <c r="I31" s="45">
        <f>Table379[[#This Row],[Closing]]/H30 -1</f>
        <v>3.0366411910445201E-3</v>
      </c>
      <c r="J31" s="45"/>
      <c r="K31" s="45"/>
      <c r="L31" s="53"/>
      <c r="N31" s="50"/>
      <c r="O31" s="50"/>
      <c r="P31" s="44"/>
      <c r="Q31" s="44"/>
      <c r="R31" s="44"/>
      <c r="S31" s="44"/>
      <c r="T31" s="44"/>
      <c r="U31" s="51"/>
    </row>
    <row r="32" spans="3:21" x14ac:dyDescent="0.3">
      <c r="C32" s="54">
        <v>44516</v>
      </c>
      <c r="D32" s="52"/>
      <c r="E32" s="42">
        <f>IFERROR(Table158[[#This Row],[Adj Closing]]/D31 - 1,0)</f>
        <v>0</v>
      </c>
      <c r="G32" s="54">
        <v>44516</v>
      </c>
      <c r="H32" s="44">
        <v>16983.2</v>
      </c>
      <c r="I32" s="45">
        <f>Table379[[#This Row],[Closing]]/H31 -1</f>
        <v>-3.8957878862471818E-2</v>
      </c>
      <c r="J32" s="45"/>
      <c r="K32" s="45"/>
      <c r="L32" s="53"/>
      <c r="N32" s="50"/>
      <c r="O32" s="50"/>
      <c r="P32" s="44"/>
      <c r="Q32" s="44"/>
      <c r="R32" s="44"/>
      <c r="S32" s="44"/>
      <c r="T32" s="44"/>
      <c r="U32" s="51"/>
    </row>
    <row r="33" spans="3:21" x14ac:dyDescent="0.3">
      <c r="C33" s="54">
        <v>44546</v>
      </c>
      <c r="D33" s="52"/>
      <c r="E33" s="42">
        <f>IFERROR(Table158[[#This Row],[Adj Closing]]/D32 - 1,0)</f>
        <v>0</v>
      </c>
      <c r="G33" s="54">
        <v>44546</v>
      </c>
      <c r="H33" s="44">
        <v>17354.05</v>
      </c>
      <c r="I33" s="45">
        <f>Table379[[#This Row],[Closing]]/H32 -1</f>
        <v>2.1836285270149247E-2</v>
      </c>
      <c r="J33" s="45"/>
      <c r="K33" s="45"/>
      <c r="L33" s="53"/>
      <c r="N33" s="50"/>
      <c r="O33" s="50"/>
      <c r="P33" s="44"/>
      <c r="Q33" s="44"/>
      <c r="R33" s="44"/>
      <c r="S33" s="44"/>
      <c r="T33" s="44"/>
      <c r="U33" s="51"/>
    </row>
    <row r="34" spans="3:21" x14ac:dyDescent="0.3">
      <c r="C34" s="54">
        <v>44576</v>
      </c>
      <c r="D34" s="52">
        <v>607.79999999999995</v>
      </c>
      <c r="E34" s="42">
        <f>IFERROR(Table158[[#This Row],[Adj Closing]]/D33 - 1,0)</f>
        <v>0</v>
      </c>
      <c r="G34" s="54">
        <v>44576</v>
      </c>
      <c r="H34" s="44">
        <v>17339.849999999999</v>
      </c>
      <c r="I34" s="45">
        <f>Table379[[#This Row],[Closing]]/H33 -1</f>
        <v>-8.1825279977876253E-4</v>
      </c>
      <c r="J34" s="45"/>
      <c r="K34" s="45"/>
      <c r="L34" s="53"/>
      <c r="N34" s="50"/>
      <c r="O34" s="50"/>
      <c r="P34" s="44"/>
      <c r="Q34" s="44"/>
      <c r="R34" s="44"/>
      <c r="S34" s="44"/>
      <c r="T34" s="44"/>
      <c r="U34" s="51"/>
    </row>
    <row r="35" spans="3:21" x14ac:dyDescent="0.3">
      <c r="C35" s="54">
        <v>44606</v>
      </c>
      <c r="D35" s="52">
        <v>543.5</v>
      </c>
      <c r="E35" s="42">
        <f>Table158[[#This Row],[Adj Closing]]/D34 - 1</f>
        <v>-0.10579137874300748</v>
      </c>
      <c r="G35" s="54">
        <v>44606</v>
      </c>
      <c r="H35" s="44">
        <v>16793.900000000001</v>
      </c>
      <c r="I35" s="45">
        <f>Table379[[#This Row],[Closing]]/H34 -1</f>
        <v>-3.1485278131010208E-2</v>
      </c>
      <c r="J35" s="45"/>
      <c r="K35" s="45"/>
      <c r="L35" s="53"/>
      <c r="N35" s="50"/>
      <c r="O35" s="50"/>
      <c r="P35" s="44"/>
      <c r="Q35" s="44"/>
      <c r="R35" s="44"/>
      <c r="S35" s="44"/>
      <c r="T35" s="44"/>
      <c r="U35" s="51"/>
    </row>
    <row r="36" spans="3:21" x14ac:dyDescent="0.3">
      <c r="C36" s="54">
        <v>44636</v>
      </c>
      <c r="D36" s="52">
        <v>619.29999999999995</v>
      </c>
      <c r="E36" s="42">
        <f>Table158[[#This Row],[Adj Closing]]/D35 - 1</f>
        <v>0.13946642134314624</v>
      </c>
      <c r="G36" s="54">
        <v>44636</v>
      </c>
      <c r="H36" s="44">
        <v>17464.75</v>
      </c>
      <c r="I36" s="45">
        <f>Table379[[#This Row],[Closing]]/H35 -1</f>
        <v>3.9946051840251462E-2</v>
      </c>
      <c r="J36" s="45"/>
      <c r="K36" s="45"/>
      <c r="L36" s="53"/>
      <c r="N36" s="50"/>
      <c r="O36" s="50"/>
      <c r="P36" s="44"/>
      <c r="Q36" s="44"/>
      <c r="R36" s="44"/>
      <c r="S36" s="44"/>
      <c r="T36" s="44"/>
      <c r="U36" s="51"/>
    </row>
    <row r="37" spans="3:21" x14ac:dyDescent="0.3">
      <c r="C37" s="54">
        <v>44666</v>
      </c>
      <c r="D37" s="52">
        <v>571.29999999999995</v>
      </c>
      <c r="E37" s="42">
        <f>Table158[[#This Row],[Adj Closing]]/D36 - 1</f>
        <v>-7.7506862586791514E-2</v>
      </c>
      <c r="G37" s="54">
        <v>44666</v>
      </c>
      <c r="H37" s="44">
        <v>17102.55</v>
      </c>
      <c r="I37" s="45">
        <f>Table379[[#This Row],[Closing]]/H36 -1</f>
        <v>-2.0738916961307807E-2</v>
      </c>
      <c r="J37" s="45"/>
      <c r="K37" s="45"/>
      <c r="L37" s="53"/>
      <c r="N37" s="50"/>
      <c r="O37" s="50"/>
      <c r="P37" s="44"/>
      <c r="Q37" s="44"/>
      <c r="R37" s="44"/>
      <c r="S37" s="44"/>
      <c r="T37" s="44"/>
      <c r="U37" s="51"/>
    </row>
    <row r="38" spans="3:21" x14ac:dyDescent="0.3">
      <c r="C38" s="54">
        <v>44696</v>
      </c>
      <c r="D38" s="52">
        <v>595.95000000000005</v>
      </c>
      <c r="E38" s="42">
        <f>Table158[[#This Row],[Adj Closing]]/D37 - 1</f>
        <v>4.3147208121827596E-2</v>
      </c>
      <c r="G38" s="54">
        <v>44696</v>
      </c>
      <c r="H38" s="44">
        <v>16584.55</v>
      </c>
      <c r="I38" s="45">
        <f>Table379[[#This Row],[Closing]]/H37 -1</f>
        <v>-3.0287881046978327E-2</v>
      </c>
      <c r="J38" s="45"/>
      <c r="K38" s="45"/>
      <c r="L38" s="53"/>
      <c r="N38" s="50"/>
      <c r="O38" s="50"/>
      <c r="P38" s="44"/>
      <c r="Q38" s="44"/>
      <c r="R38" s="52"/>
      <c r="S38" s="44"/>
      <c r="T38" s="44"/>
      <c r="U38" s="51"/>
    </row>
    <row r="39" spans="3:21" x14ac:dyDescent="0.3">
      <c r="C39" s="54">
        <v>44726</v>
      </c>
      <c r="D39" s="52">
        <v>595.15</v>
      </c>
      <c r="E39" s="42">
        <f>Table158[[#This Row],[Adj Closing]]/D38 - 1</f>
        <v>-1.342394496182675E-3</v>
      </c>
      <c r="G39" s="54">
        <v>44726</v>
      </c>
      <c r="H39" s="44">
        <v>15780.25</v>
      </c>
      <c r="I39" s="45">
        <f>Table379[[#This Row],[Closing]]/H38 -1</f>
        <v>-4.8496944445281853E-2</v>
      </c>
      <c r="J39" s="45"/>
      <c r="K39" s="45"/>
      <c r="L39" s="53"/>
      <c r="N39" s="50"/>
      <c r="O39" s="50"/>
      <c r="P39" s="44"/>
      <c r="Q39" s="44"/>
      <c r="R39" s="44"/>
      <c r="S39" s="44"/>
      <c r="T39" s="44"/>
      <c r="U39" s="51"/>
    </row>
    <row r="40" spans="3:21" x14ac:dyDescent="0.3">
      <c r="C40" s="54">
        <v>44756</v>
      </c>
      <c r="D40" s="52">
        <v>639.25</v>
      </c>
      <c r="E40" s="42">
        <f>Table158[[#This Row],[Adj Closing]]/D39 - 1</f>
        <v>7.4098966647063724E-2</v>
      </c>
      <c r="G40" s="54">
        <v>44756</v>
      </c>
      <c r="H40" s="44">
        <v>17158.25</v>
      </c>
      <c r="I40" s="45">
        <f>Table379[[#This Row],[Closing]]/H39 -1</f>
        <v>8.7324345305048956E-2</v>
      </c>
      <c r="J40" s="45"/>
      <c r="K40" s="45"/>
      <c r="L40" s="53"/>
      <c r="O40" s="50"/>
      <c r="P40" s="52"/>
      <c r="Q40" s="44"/>
      <c r="R40" s="52"/>
      <c r="S40" s="44"/>
      <c r="T40" s="44"/>
      <c r="U40" s="51"/>
    </row>
    <row r="41" spans="3:21" x14ac:dyDescent="0.3">
      <c r="C41" s="54">
        <v>44786</v>
      </c>
      <c r="D41" s="52">
        <v>793</v>
      </c>
      <c r="E41" s="42">
        <f>Table158[[#This Row],[Adj Closing]]/D40 - 1</f>
        <v>0.24051622995698074</v>
      </c>
      <c r="G41" s="54">
        <v>44786</v>
      </c>
      <c r="H41" s="44">
        <v>17759.3</v>
      </c>
      <c r="I41" s="45">
        <f>Table379[[#This Row],[Closing]]/H40 -1</f>
        <v>3.5029796162195925E-2</v>
      </c>
      <c r="J41" s="45"/>
      <c r="K41" s="45"/>
      <c r="O41" s="50"/>
      <c r="P41" s="52"/>
      <c r="Q41" s="44"/>
      <c r="R41" s="52"/>
      <c r="S41" s="52"/>
      <c r="T41" s="52"/>
      <c r="U41" s="51"/>
    </row>
    <row r="42" spans="3:21" x14ac:dyDescent="0.3">
      <c r="C42" s="54">
        <v>44816</v>
      </c>
      <c r="D42" s="52">
        <v>915.15</v>
      </c>
      <c r="E42" s="42">
        <f>Table158[[#This Row],[Adj Closing]]/D41 - 1</f>
        <v>0.15403530895334172</v>
      </c>
      <c r="G42" s="54">
        <v>44816</v>
      </c>
      <c r="H42" s="44">
        <v>17094.349999999999</v>
      </c>
      <c r="I42" s="45">
        <f>Table379[[#This Row],[Closing]]/H41 -1</f>
        <v>-3.7442354146841383E-2</v>
      </c>
      <c r="J42" s="45"/>
      <c r="K42" s="45"/>
      <c r="O42" s="50"/>
      <c r="P42" s="52"/>
      <c r="Q42" s="52"/>
      <c r="R42" s="52"/>
      <c r="S42" s="52"/>
      <c r="T42" s="52"/>
      <c r="U42" s="51"/>
    </row>
    <row r="43" spans="3:21" x14ac:dyDescent="0.3">
      <c r="C43" s="54">
        <v>44846</v>
      </c>
      <c r="D43" s="52">
        <v>863.6</v>
      </c>
      <c r="E43" s="42">
        <f>Table158[[#This Row],[Adj Closing]]/D42 - 1</f>
        <v>-5.6329563459542098E-2</v>
      </c>
      <c r="G43" s="54">
        <v>44846</v>
      </c>
      <c r="H43" s="44">
        <v>18012.2</v>
      </c>
      <c r="I43" s="45">
        <f>Table379[[#This Row],[Closing]]/H42 -1</f>
        <v>5.3693179325332796E-2</v>
      </c>
      <c r="J43" s="45"/>
      <c r="K43" s="45"/>
      <c r="O43" s="50"/>
      <c r="P43" s="52"/>
      <c r="Q43" s="52"/>
      <c r="R43" s="52"/>
      <c r="S43" s="52"/>
      <c r="T43" s="52"/>
      <c r="U43" s="51"/>
    </row>
    <row r="44" spans="3:21" x14ac:dyDescent="0.3">
      <c r="C44" s="54">
        <v>44876</v>
      </c>
      <c r="D44" s="52">
        <v>832.7</v>
      </c>
      <c r="E44" s="42">
        <f>Table158[[#This Row],[Adj Closing]]/D43 - 1</f>
        <v>-3.5780453913848986E-2</v>
      </c>
      <c r="G44" s="54">
        <v>44876</v>
      </c>
      <c r="H44" s="44">
        <v>18758.349999999999</v>
      </c>
      <c r="I44" s="45">
        <f>Table379[[#This Row],[Closing]]/H43 -1</f>
        <v>4.1424701035964295E-2</v>
      </c>
      <c r="J44" s="45"/>
      <c r="K44" s="45"/>
      <c r="O44" s="50"/>
      <c r="P44" s="52"/>
      <c r="Q44" s="52"/>
      <c r="R44" s="52"/>
      <c r="S44" s="52"/>
      <c r="T44" s="52"/>
      <c r="U44" s="51"/>
    </row>
    <row r="45" spans="3:21" x14ac:dyDescent="0.3">
      <c r="C45" s="54">
        <v>44906</v>
      </c>
      <c r="D45" s="52">
        <v>884.6</v>
      </c>
      <c r="E45" s="42">
        <f>Table158[[#This Row],[Adj Closing]]/D44 - 1</f>
        <v>6.2327368800288108E-2</v>
      </c>
      <c r="G45" s="54">
        <v>44906</v>
      </c>
      <c r="H45" s="44">
        <v>18105.3</v>
      </c>
      <c r="I45" s="45">
        <f>Table379[[#This Row],[Closing]]/H44 -1</f>
        <v>-3.4813829574562805E-2</v>
      </c>
      <c r="J45" s="45"/>
      <c r="K45" s="45"/>
      <c r="O45" s="50"/>
      <c r="P45" s="52"/>
      <c r="Q45" s="52"/>
      <c r="R45" s="52"/>
      <c r="S45" s="52"/>
      <c r="T45" s="52"/>
      <c r="U45" s="51"/>
    </row>
    <row r="46" spans="3:21" x14ac:dyDescent="0.3">
      <c r="C46" s="54">
        <v>44936</v>
      </c>
      <c r="D46" s="52">
        <v>756.7</v>
      </c>
      <c r="E46" s="42">
        <f>Table158[[#This Row],[Adj Closing]]/D45 - 1</f>
        <v>-0.14458512321953421</v>
      </c>
      <c r="G46" s="54">
        <v>44936</v>
      </c>
      <c r="H46" s="44">
        <v>17662.150000000001</v>
      </c>
      <c r="I46" s="45">
        <f>Table379[[#This Row],[Closing]]/H45 -1</f>
        <v>-2.4476258333195111E-2</v>
      </c>
      <c r="J46" s="45"/>
      <c r="K46" s="45"/>
      <c r="O46" s="50"/>
      <c r="P46" s="52"/>
      <c r="Q46" s="52"/>
      <c r="R46" s="52"/>
      <c r="S46" s="52"/>
      <c r="T46" s="52"/>
      <c r="U46" s="51"/>
    </row>
    <row r="47" spans="3:21" x14ac:dyDescent="0.3">
      <c r="C47" s="54">
        <v>44966</v>
      </c>
      <c r="D47" s="52">
        <v>822.45</v>
      </c>
      <c r="E47" s="42">
        <f>Table158[[#This Row],[Adj Closing]]/D46 - 1</f>
        <v>8.6890445354830259E-2</v>
      </c>
      <c r="G47" s="54">
        <v>44966</v>
      </c>
      <c r="H47" s="44">
        <v>17303.95</v>
      </c>
      <c r="I47" s="45">
        <f>Table379[[#This Row],[Closing]]/H46 -1</f>
        <v>-2.0280656658447582E-2</v>
      </c>
      <c r="J47" s="45"/>
      <c r="K47" s="45"/>
      <c r="O47" s="50"/>
      <c r="P47" s="52"/>
      <c r="Q47" s="52"/>
      <c r="R47" s="52"/>
      <c r="S47" s="52"/>
      <c r="T47" s="52"/>
      <c r="U47" s="51"/>
    </row>
    <row r="48" spans="3:21" x14ac:dyDescent="0.3">
      <c r="C48" s="54">
        <v>44996</v>
      </c>
      <c r="D48" s="52">
        <v>793.8</v>
      </c>
      <c r="E48" s="42">
        <f>Table158[[#This Row],[Adj Closing]]/D47 - 1</f>
        <v>-3.4834944373518306E-2</v>
      </c>
      <c r="G48" s="54">
        <v>44996</v>
      </c>
      <c r="H48" s="44">
        <v>17359.75</v>
      </c>
      <c r="I48" s="45">
        <f>Table379[[#This Row],[Closing]]/H47 -1</f>
        <v>3.2246972512055549E-3</v>
      </c>
      <c r="J48" s="45"/>
      <c r="K48" s="45"/>
      <c r="O48" s="50"/>
      <c r="P48" s="52"/>
      <c r="Q48" s="52"/>
      <c r="R48" s="52"/>
      <c r="S48" s="52"/>
      <c r="T48" s="52"/>
      <c r="U48" s="51"/>
    </row>
    <row r="49" spans="3:21" x14ac:dyDescent="0.3">
      <c r="C49" s="54">
        <v>45026</v>
      </c>
      <c r="D49" s="52">
        <v>865.1</v>
      </c>
      <c r="E49" s="42">
        <f>Table158[[#This Row],[Adj Closing]]/D48 - 1</f>
        <v>8.9821113630637495E-2</v>
      </c>
      <c r="G49" s="54">
        <v>45026</v>
      </c>
      <c r="H49" s="44">
        <v>18065</v>
      </c>
      <c r="I49" s="45">
        <f>Table379[[#This Row],[Closing]]/H48 -1</f>
        <v>4.0625585045867663E-2</v>
      </c>
      <c r="J49" s="45"/>
      <c r="K49" s="45"/>
      <c r="O49" s="50"/>
      <c r="P49" s="52"/>
      <c r="Q49" s="52"/>
      <c r="R49" s="52"/>
      <c r="S49" s="52"/>
      <c r="T49" s="52"/>
      <c r="U49" s="51"/>
    </row>
    <row r="50" spans="3:21" x14ac:dyDescent="0.3">
      <c r="C50" s="54">
        <v>45056</v>
      </c>
      <c r="D50" s="52">
        <v>958.05</v>
      </c>
      <c r="E50" s="42">
        <f>Table158[[#This Row],[Adj Closing]]/D49 - 1</f>
        <v>0.10744422610102866</v>
      </c>
      <c r="G50" s="54">
        <v>45056</v>
      </c>
      <c r="H50" s="44">
        <v>18534.400000000001</v>
      </c>
      <c r="I50" s="45">
        <f>Table379[[#This Row],[Closing]]/H49 -1</f>
        <v>2.5983946858566309E-2</v>
      </c>
      <c r="J50" s="45"/>
      <c r="K50" s="45"/>
      <c r="O50" s="50"/>
      <c r="P50" s="52"/>
      <c r="Q50" s="52"/>
      <c r="R50" s="52"/>
      <c r="S50" s="52"/>
      <c r="T50" s="52"/>
      <c r="U50" s="51"/>
    </row>
    <row r="51" spans="3:21" x14ac:dyDescent="0.3">
      <c r="C51" s="54">
        <v>45086</v>
      </c>
      <c r="D51" s="52">
        <v>939.8</v>
      </c>
      <c r="E51" s="42">
        <f>Table158[[#This Row],[Adj Closing]]/D50 - 1</f>
        <v>-1.9049110171702965E-2</v>
      </c>
      <c r="G51" s="54">
        <v>45086</v>
      </c>
      <c r="H51" s="44">
        <v>19189.05</v>
      </c>
      <c r="I51" s="45">
        <f>Table379[[#This Row],[Closing]]/H50 -1</f>
        <v>3.5320808874309328E-2</v>
      </c>
      <c r="J51" s="45"/>
      <c r="K51" s="45"/>
      <c r="O51" s="50"/>
      <c r="P51" s="52"/>
      <c r="Q51" s="52"/>
      <c r="R51" s="52"/>
      <c r="S51" s="52"/>
      <c r="T51" s="52"/>
      <c r="U51" s="51"/>
    </row>
    <row r="52" spans="3:21" x14ac:dyDescent="0.3">
      <c r="C52" s="54">
        <v>45116</v>
      </c>
      <c r="D52" s="44">
        <v>1044.25</v>
      </c>
      <c r="E52" s="42">
        <f>Table158[[#This Row],[Adj Closing]]/D51 - 1</f>
        <v>0.11114066822728241</v>
      </c>
      <c r="G52" s="54">
        <v>45116</v>
      </c>
      <c r="H52" s="44">
        <v>19753.8</v>
      </c>
      <c r="I52" s="45">
        <f>Table379[[#This Row],[Closing]]/H51 -1</f>
        <v>2.9430847280089489E-2</v>
      </c>
      <c r="J52" s="45"/>
      <c r="K52" s="45"/>
      <c r="O52" s="50"/>
      <c r="P52" s="52"/>
      <c r="Q52" s="52"/>
      <c r="R52" s="52"/>
      <c r="S52" s="52"/>
      <c r="T52" s="52"/>
      <c r="U52" s="51"/>
    </row>
    <row r="53" spans="3:21" x14ac:dyDescent="0.3">
      <c r="C53" s="54">
        <v>45146</v>
      </c>
      <c r="D53" s="44">
        <v>1047.25</v>
      </c>
      <c r="E53" s="42">
        <f>Table158[[#This Row],[Adj Closing]]/D52 - 1</f>
        <v>2.8728752693321091E-3</v>
      </c>
      <c r="G53" s="54">
        <v>45146</v>
      </c>
      <c r="H53" s="44">
        <v>19253.8</v>
      </c>
      <c r="I53" s="45">
        <f>Table379[[#This Row],[Closing]]/H52 -1</f>
        <v>-2.5311585618969512E-2</v>
      </c>
      <c r="J53" s="45"/>
      <c r="K53" s="45"/>
      <c r="O53" s="50"/>
      <c r="P53" s="52"/>
      <c r="Q53" s="52"/>
      <c r="R53" s="52"/>
      <c r="S53" s="52"/>
      <c r="T53" s="52"/>
      <c r="U53" s="51"/>
    </row>
    <row r="54" spans="3:21" x14ac:dyDescent="0.3">
      <c r="C54" s="54">
        <v>45176</v>
      </c>
      <c r="D54" s="44">
        <v>1127.8499999999999</v>
      </c>
      <c r="E54" s="42">
        <f>Table158[[#This Row],[Adj Closing]]/D53 - 1</f>
        <v>7.6963475769873391E-2</v>
      </c>
      <c r="G54" s="54">
        <v>45176</v>
      </c>
      <c r="H54" s="44">
        <v>19638.3</v>
      </c>
      <c r="I54" s="45">
        <f>Table379[[#This Row],[Closing]]/H53 -1</f>
        <v>1.9970083827608009E-2</v>
      </c>
      <c r="J54" s="45"/>
      <c r="K54" s="45"/>
      <c r="O54" s="50"/>
      <c r="P54" s="52"/>
      <c r="Q54" s="52"/>
      <c r="R54" s="52"/>
      <c r="S54" s="52"/>
      <c r="T54" s="52"/>
      <c r="U54" s="51"/>
    </row>
    <row r="55" spans="3:21" x14ac:dyDescent="0.3">
      <c r="C55" s="54">
        <v>45206</v>
      </c>
      <c r="D55" s="44">
        <v>1179.3</v>
      </c>
      <c r="E55" s="42">
        <f>Table158[[#This Row],[Adj Closing]]/D54 - 1</f>
        <v>4.5617768320255436E-2</v>
      </c>
      <c r="G55" s="54">
        <v>45206</v>
      </c>
      <c r="H55" s="44">
        <v>19079.599999999999</v>
      </c>
      <c r="I55" s="45">
        <f>Table379[[#This Row],[Closing]]/H54 -1</f>
        <v>-2.844950937708457E-2</v>
      </c>
      <c r="J55" s="45"/>
      <c r="K55" s="45"/>
      <c r="O55" s="50"/>
      <c r="P55" s="52"/>
      <c r="Q55" s="52"/>
      <c r="R55" s="52"/>
      <c r="S55" s="52"/>
      <c r="T55" s="52"/>
      <c r="U55" s="51"/>
    </row>
    <row r="56" spans="3:21" x14ac:dyDescent="0.3">
      <c r="C56" s="54">
        <v>45236</v>
      </c>
      <c r="D56" s="44">
        <v>1369.1</v>
      </c>
      <c r="E56" s="42">
        <f>Table158[[#This Row],[Adj Closing]]/D55 - 1</f>
        <v>0.16094293224794365</v>
      </c>
      <c r="G56" s="54">
        <v>45236</v>
      </c>
      <c r="H56" s="44">
        <v>20133.150000000001</v>
      </c>
      <c r="I56" s="45">
        <f>Table379[[#This Row],[Closing]]/H55 -1</f>
        <v>5.5218662865049728E-2</v>
      </c>
      <c r="J56" s="45"/>
      <c r="K56" s="45"/>
      <c r="O56" s="50"/>
      <c r="P56" s="52"/>
      <c r="Q56" s="52"/>
      <c r="R56" s="52"/>
      <c r="S56" s="52"/>
      <c r="T56" s="52"/>
      <c r="U56" s="51"/>
    </row>
    <row r="57" spans="3:21" x14ac:dyDescent="0.3">
      <c r="C57" s="54">
        <v>45266</v>
      </c>
      <c r="D57" s="44">
        <v>1262.7</v>
      </c>
      <c r="E57" s="42">
        <f>Table158[[#This Row],[Adj Closing]]/D56 - 1</f>
        <v>-7.7715287415090151E-2</v>
      </c>
      <c r="G57" s="54">
        <v>45266</v>
      </c>
      <c r="H57" s="44">
        <v>21731.4</v>
      </c>
      <c r="I57" s="45">
        <f>Table379[[#This Row],[Closing]]/H56 -1</f>
        <v>7.9384001013254268E-2</v>
      </c>
      <c r="J57" s="45"/>
      <c r="K57" s="45"/>
      <c r="O57" s="50"/>
      <c r="P57" s="52"/>
      <c r="Q57" s="52"/>
      <c r="R57" s="52"/>
      <c r="S57" s="52"/>
      <c r="T57" s="52"/>
      <c r="U57" s="51"/>
    </row>
    <row r="58" spans="3:21" x14ac:dyDescent="0.3">
      <c r="C58" s="54">
        <v>45296</v>
      </c>
      <c r="D58" s="44">
        <v>1099.05</v>
      </c>
      <c r="E58" s="42">
        <f>Table158[[#This Row],[Adj Closing]]/D57 - 1</f>
        <v>-0.12960323117129968</v>
      </c>
      <c r="G58" s="54">
        <v>45296</v>
      </c>
      <c r="H58" s="44">
        <v>21725.7</v>
      </c>
      <c r="I58" s="45">
        <f>Table379[[#This Row],[Closing]]/H57 -1</f>
        <v>-2.6229327148741266E-4</v>
      </c>
      <c r="J58" s="45"/>
      <c r="K58" s="45"/>
      <c r="O58" s="50"/>
      <c r="P58" s="52"/>
      <c r="Q58" s="52"/>
      <c r="R58" s="52"/>
      <c r="S58" s="52"/>
      <c r="T58" s="52"/>
      <c r="U58" s="51"/>
    </row>
    <row r="59" spans="3:21" x14ac:dyDescent="0.3">
      <c r="C59" s="54">
        <v>45326</v>
      </c>
      <c r="D59" s="44">
        <v>1138.55</v>
      </c>
      <c r="E59" s="42">
        <f>Table158[[#This Row],[Adj Closing]]/D58 - 1</f>
        <v>3.594013011236985E-2</v>
      </c>
      <c r="G59" s="54">
        <v>45326</v>
      </c>
      <c r="H59" s="44">
        <v>21982.799999999999</v>
      </c>
      <c r="I59" s="45">
        <f>Table379[[#This Row],[Closing]]/H58 -1</f>
        <v>1.1833910990209695E-2</v>
      </c>
      <c r="J59" s="45"/>
      <c r="K59" s="45"/>
    </row>
    <row r="60" spans="3:21" x14ac:dyDescent="0.3">
      <c r="C60" s="54">
        <v>45356</v>
      </c>
      <c r="D60" s="44">
        <v>1149.7</v>
      </c>
      <c r="E60" s="42">
        <f>Table158[[#This Row],[Adj Closing]]/D59 - 1</f>
        <v>9.7931579640770927E-3</v>
      </c>
      <c r="G60" s="54">
        <v>45356</v>
      </c>
      <c r="H60" s="44">
        <v>22326.9</v>
      </c>
      <c r="I60" s="45">
        <f>Table379[[#This Row],[Closing]]/H59 -1</f>
        <v>1.5653147005840973E-2</v>
      </c>
      <c r="J60" s="45"/>
      <c r="K60" s="45"/>
    </row>
    <row r="61" spans="3:21" x14ac:dyDescent="0.3">
      <c r="C61" s="54">
        <v>45386</v>
      </c>
      <c r="D61" s="44">
        <v>1075.25</v>
      </c>
      <c r="E61" s="42">
        <f>Table158[[#This Row],[Adj Closing]]/D60 - 1</f>
        <v>-6.4756023310428845E-2</v>
      </c>
      <c r="G61" s="54">
        <v>45386</v>
      </c>
      <c r="H61" s="44">
        <v>22604.85</v>
      </c>
      <c r="I61" s="45">
        <f>Table379[[#This Row],[Closing]]/H60 -1</f>
        <v>1.2449108474530624E-2</v>
      </c>
      <c r="J61" s="45"/>
      <c r="K61" s="45"/>
    </row>
    <row r="62" spans="3:21" x14ac:dyDescent="0.3">
      <c r="C62" s="54">
        <v>45416</v>
      </c>
      <c r="D62" s="44">
        <v>1138.3</v>
      </c>
      <c r="E62" s="42">
        <f>Table158[[#This Row],[Adj Closing]]/D61 - 1</f>
        <v>5.8637526156707809E-2</v>
      </c>
      <c r="G62" s="54">
        <v>45416</v>
      </c>
      <c r="H62" s="44">
        <v>22530.7</v>
      </c>
      <c r="I62" s="45">
        <f>Table379[[#This Row],[Closing]]/H61 -1</f>
        <v>-3.2802694996869608E-3</v>
      </c>
      <c r="J62" s="45"/>
      <c r="K62" s="45"/>
    </row>
    <row r="63" spans="3:21" x14ac:dyDescent="0.3">
      <c r="C63" s="54">
        <v>45446</v>
      </c>
      <c r="D63" s="44">
        <v>1229.1500000000001</v>
      </c>
      <c r="E63" s="42">
        <f>Table158[[#This Row],[Adj Closing]]/D62 - 1</f>
        <v>7.9812000351401347E-2</v>
      </c>
      <c r="G63" s="54">
        <v>45446</v>
      </c>
      <c r="H63" s="44">
        <v>24010.6</v>
      </c>
      <c r="I63" s="45">
        <f>Table379[[#This Row],[Closing]]/H62 -1</f>
        <v>6.5683711558007341E-2</v>
      </c>
      <c r="J63" s="45"/>
      <c r="K63" s="45"/>
    </row>
    <row r="64" spans="3:21" x14ac:dyDescent="0.3">
      <c r="C64" s="54">
        <v>45476</v>
      </c>
      <c r="D64" s="44">
        <v>1352.2</v>
      </c>
      <c r="E64" s="42">
        <f>Table158[[#This Row],[Adj Closing]]/D63 - 1</f>
        <v>0.10010983199772205</v>
      </c>
      <c r="G64" s="54">
        <v>45476</v>
      </c>
      <c r="H64" s="44">
        <v>24951.15</v>
      </c>
      <c r="I64" s="45">
        <f>Table379[[#This Row],[Closing]]/H63 -1</f>
        <v>3.917228224200997E-2</v>
      </c>
      <c r="J64" s="45"/>
      <c r="K64" s="45"/>
    </row>
    <row r="65" spans="3:11" x14ac:dyDescent="0.3">
      <c r="C65" s="54">
        <v>45506</v>
      </c>
      <c r="D65" s="44">
        <v>1308.8</v>
      </c>
      <c r="E65" s="42">
        <f>Table158[[#This Row],[Adj Closing]]/D64 - 1</f>
        <v>-3.2095843810087343E-2</v>
      </c>
      <c r="G65" s="54">
        <v>45506</v>
      </c>
      <c r="H65" s="44">
        <v>25235.9</v>
      </c>
      <c r="I65" s="45">
        <f>Table379[[#This Row],[Closing]]/H64 -1</f>
        <v>1.141229963348378E-2</v>
      </c>
      <c r="J65" s="45"/>
      <c r="K65" s="45"/>
    </row>
    <row r="66" spans="3:11" x14ac:dyDescent="0.3">
      <c r="C66" s="54">
        <v>45536</v>
      </c>
      <c r="D66" s="44">
        <v>1276.2</v>
      </c>
      <c r="E66" s="42">
        <f>Table158[[#This Row],[Adj Closing]]/D65 - 1</f>
        <v>-2.4908312958435097E-2</v>
      </c>
      <c r="G66" s="54">
        <v>45536</v>
      </c>
      <c r="H66" s="44">
        <v>25810.85</v>
      </c>
      <c r="I66" s="45">
        <f>Table379[[#This Row],[Closing]]/H65 -1</f>
        <v>2.2783019428670892E-2</v>
      </c>
      <c r="J66" s="45"/>
      <c r="K66" s="45"/>
    </row>
    <row r="67" spans="3:11" x14ac:dyDescent="0.3">
      <c r="C67" s="54">
        <v>45566</v>
      </c>
      <c r="D67" s="44">
        <v>1282.0999999999999</v>
      </c>
      <c r="E67" s="42">
        <f>Table158[[#This Row],[Adj Closing]]/D66 - 1</f>
        <v>4.6230998276131086E-3</v>
      </c>
      <c r="G67" s="54">
        <v>45566</v>
      </c>
      <c r="H67" s="44">
        <v>25796.9</v>
      </c>
      <c r="I67" s="45">
        <f>Table379[[#This Row],[Closing]]/H66 -1</f>
        <v>-5.4047038357885047E-4</v>
      </c>
      <c r="J67" s="45"/>
      <c r="K67" s="45"/>
    </row>
    <row r="68" spans="3:11" x14ac:dyDescent="0.3">
      <c r="C68" s="40"/>
      <c r="D68" s="41"/>
      <c r="E68" s="42"/>
      <c r="G68" s="54"/>
      <c r="H68" s="45"/>
      <c r="J68" s="45"/>
      <c r="K68" s="45"/>
    </row>
    <row r="69" spans="3:11" x14ac:dyDescent="0.3">
      <c r="G69" s="54"/>
    </row>
    <row r="70" spans="3:11" x14ac:dyDescent="0.3">
      <c r="G70" s="54"/>
    </row>
    <row r="71" spans="3:11" x14ac:dyDescent="0.3">
      <c r="G71" s="54"/>
    </row>
    <row r="72" spans="3:11" x14ac:dyDescent="0.3">
      <c r="G72" s="54"/>
    </row>
    <row r="73" spans="3:11" x14ac:dyDescent="0.3">
      <c r="G73" s="54"/>
    </row>
    <row r="74" spans="3:11" x14ac:dyDescent="0.3">
      <c r="G74" s="54"/>
    </row>
    <row r="75" spans="3:11" x14ac:dyDescent="0.3">
      <c r="G75" s="54"/>
    </row>
    <row r="76" spans="3:11" x14ac:dyDescent="0.3">
      <c r="G76" s="54"/>
    </row>
    <row r="77" spans="3:11" x14ac:dyDescent="0.3">
      <c r="G77" s="54"/>
    </row>
    <row r="78" spans="3:11" x14ac:dyDescent="0.3">
      <c r="G78" s="54"/>
    </row>
    <row r="79" spans="3:11" x14ac:dyDescent="0.3">
      <c r="G79" s="54"/>
    </row>
    <row r="80" spans="3:11" x14ac:dyDescent="0.3">
      <c r="G80" s="54"/>
    </row>
    <row r="81" spans="7:17" x14ac:dyDescent="0.3">
      <c r="G81" s="54"/>
    </row>
    <row r="82" spans="7:17" x14ac:dyDescent="0.3">
      <c r="G82" s="54"/>
    </row>
    <row r="86" spans="7:17" x14ac:dyDescent="0.3">
      <c r="O86" s="54"/>
      <c r="Q86" s="53"/>
    </row>
    <row r="87" spans="7:17" x14ac:dyDescent="0.3">
      <c r="O87" s="54"/>
      <c r="Q87" s="53"/>
    </row>
    <row r="88" spans="7:17" x14ac:dyDescent="0.3">
      <c r="O88" s="54"/>
      <c r="Q88" s="53"/>
    </row>
    <row r="89" spans="7:17" x14ac:dyDescent="0.3">
      <c r="O89" s="54"/>
      <c r="Q89" s="53"/>
    </row>
    <row r="90" spans="7:17" x14ac:dyDescent="0.3">
      <c r="O90" s="54"/>
      <c r="Q90" s="53"/>
    </row>
    <row r="91" spans="7:17" x14ac:dyDescent="0.3">
      <c r="O91" s="54"/>
      <c r="Q91" s="53"/>
    </row>
    <row r="92" spans="7:17" x14ac:dyDescent="0.3">
      <c r="O92" s="54"/>
      <c r="Q92" s="53"/>
    </row>
    <row r="93" spans="7:17" x14ac:dyDescent="0.3">
      <c r="O93" s="54"/>
      <c r="Q93" s="53"/>
    </row>
    <row r="94" spans="7:17" x14ac:dyDescent="0.3">
      <c r="O94" s="54"/>
      <c r="Q94" s="53"/>
    </row>
    <row r="95" spans="7:17" x14ac:dyDescent="0.3">
      <c r="O95" s="54"/>
      <c r="Q95" s="53"/>
    </row>
    <row r="96" spans="7:17" x14ac:dyDescent="0.3">
      <c r="O96" s="54"/>
      <c r="Q96" s="53"/>
    </row>
    <row r="97" spans="15:17" x14ac:dyDescent="0.3">
      <c r="O97" s="54"/>
      <c r="Q97" s="53"/>
    </row>
    <row r="98" spans="15:17" x14ac:dyDescent="0.3">
      <c r="O98" s="54"/>
      <c r="Q98" s="53"/>
    </row>
    <row r="99" spans="15:17" x14ac:dyDescent="0.3">
      <c r="O99" s="54"/>
      <c r="Q99" s="53"/>
    </row>
    <row r="100" spans="15:17" x14ac:dyDescent="0.3">
      <c r="O100" s="54"/>
      <c r="Q100" s="53"/>
    </row>
    <row r="101" spans="15:17" x14ac:dyDescent="0.3">
      <c r="O101" s="54"/>
      <c r="Q101" s="53"/>
    </row>
    <row r="102" spans="15:17" x14ac:dyDescent="0.3">
      <c r="O102" s="54"/>
      <c r="Q102" s="53"/>
    </row>
    <row r="103" spans="15:17" x14ac:dyDescent="0.3">
      <c r="O103" s="54"/>
      <c r="Q103" s="53"/>
    </row>
    <row r="104" spans="15:17" x14ac:dyDescent="0.3">
      <c r="O104" s="54"/>
      <c r="Q104" s="53"/>
    </row>
    <row r="105" spans="15:17" x14ac:dyDescent="0.3">
      <c r="O105" s="54"/>
      <c r="Q105" s="53"/>
    </row>
    <row r="106" spans="15:17" x14ac:dyDescent="0.3">
      <c r="O106" s="54"/>
      <c r="Q106" s="53"/>
    </row>
    <row r="107" spans="15:17" x14ac:dyDescent="0.3">
      <c r="Q107" s="53"/>
    </row>
    <row r="108" spans="15:17" x14ac:dyDescent="0.3">
      <c r="Q108" s="53"/>
    </row>
    <row r="109" spans="15:17" x14ac:dyDescent="0.3">
      <c r="Q109" s="53"/>
    </row>
    <row r="110" spans="15:17" x14ac:dyDescent="0.3">
      <c r="Q110" s="53"/>
    </row>
    <row r="111" spans="15:17" x14ac:dyDescent="0.3">
      <c r="Q111" s="53"/>
    </row>
    <row r="112" spans="15:17" x14ac:dyDescent="0.3">
      <c r="Q112" s="53"/>
    </row>
    <row r="113" spans="17:17" x14ac:dyDescent="0.3">
      <c r="Q113" s="53"/>
    </row>
    <row r="114" spans="17:17" x14ac:dyDescent="0.3">
      <c r="Q114" s="53"/>
    </row>
    <row r="115" spans="17:17" x14ac:dyDescent="0.3">
      <c r="Q115" s="53"/>
    </row>
    <row r="116" spans="17:17" x14ac:dyDescent="0.3">
      <c r="Q116" s="53"/>
    </row>
    <row r="117" spans="17:17" x14ac:dyDescent="0.3">
      <c r="Q117" s="53"/>
    </row>
    <row r="118" spans="17:17" x14ac:dyDescent="0.3">
      <c r="Q118" s="53"/>
    </row>
    <row r="119" spans="17:17" x14ac:dyDescent="0.3">
      <c r="Q119" s="53"/>
    </row>
    <row r="120" spans="17:17" x14ac:dyDescent="0.3">
      <c r="Q120" s="53"/>
    </row>
    <row r="121" spans="17:17" x14ac:dyDescent="0.3">
      <c r="Q121" s="53"/>
    </row>
    <row r="122" spans="17:17" x14ac:dyDescent="0.3">
      <c r="Q122" s="53"/>
    </row>
    <row r="123" spans="17:17" x14ac:dyDescent="0.3">
      <c r="Q123" s="53"/>
    </row>
  </sheetData>
  <dataConsolidate/>
  <mergeCells count="5">
    <mergeCell ref="C2:M4"/>
    <mergeCell ref="C6:E6"/>
    <mergeCell ref="G6:I6"/>
    <mergeCell ref="K6:M6"/>
    <mergeCell ref="K11:M11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AB6C-668F-445C-B941-1BB873D034B2}">
  <dimension ref="B2:H31"/>
  <sheetViews>
    <sheetView workbookViewId="0">
      <selection activeCell="H13" sqref="H13"/>
    </sheetView>
  </sheetViews>
  <sheetFormatPr defaultRowHeight="14.4" x14ac:dyDescent="0.3"/>
  <sheetData>
    <row r="2" spans="2:8" x14ac:dyDescent="0.3">
      <c r="B2" s="70" t="s">
        <v>110</v>
      </c>
      <c r="C2" s="70"/>
      <c r="D2" s="70"/>
      <c r="E2" s="70"/>
      <c r="F2" s="70"/>
      <c r="G2" s="70"/>
    </row>
    <row r="3" spans="2:8" x14ac:dyDescent="0.3">
      <c r="B3" s="70"/>
      <c r="C3" s="70"/>
      <c r="D3" s="70"/>
      <c r="E3" s="70"/>
      <c r="F3" s="70"/>
      <c r="G3" s="70"/>
    </row>
    <row r="4" spans="2:8" x14ac:dyDescent="0.3">
      <c r="B4" s="70"/>
      <c r="C4" s="70"/>
      <c r="D4" s="70"/>
      <c r="E4" s="70"/>
      <c r="F4" s="70"/>
      <c r="G4" s="70"/>
    </row>
    <row r="6" spans="2:8" x14ac:dyDescent="0.3">
      <c r="B6" s="63" t="s">
        <v>111</v>
      </c>
      <c r="C6" s="64" t="s">
        <v>112</v>
      </c>
    </row>
    <row r="7" spans="2:8" x14ac:dyDescent="0.3">
      <c r="B7" s="63">
        <v>2000</v>
      </c>
      <c r="C7" s="65">
        <v>-0.14649999999999999</v>
      </c>
      <c r="E7" t="s">
        <v>113</v>
      </c>
      <c r="H7" s="4">
        <f>AVERAGE(C7:C30)</f>
        <v>0.15609166666666666</v>
      </c>
    </row>
    <row r="8" spans="2:8" x14ac:dyDescent="0.3">
      <c r="B8" s="63">
        <v>2001</v>
      </c>
      <c r="C8" s="65">
        <v>-0.1618</v>
      </c>
      <c r="E8" t="s">
        <v>114</v>
      </c>
      <c r="H8" s="4">
        <v>1.2500000000000001E-2</v>
      </c>
    </row>
    <row r="9" spans="2:8" x14ac:dyDescent="0.3">
      <c r="B9" s="63">
        <v>2002</v>
      </c>
      <c r="C9" s="65">
        <v>3.2500000000000001E-2</v>
      </c>
      <c r="H9" s="4"/>
    </row>
    <row r="10" spans="2:8" x14ac:dyDescent="0.3">
      <c r="B10" s="63">
        <v>2003</v>
      </c>
      <c r="C10" s="65">
        <v>0.71900000000000008</v>
      </c>
      <c r="E10" t="s">
        <v>115</v>
      </c>
      <c r="H10" s="4">
        <f>SUM(H7:H8)</f>
        <v>0.16859166666666667</v>
      </c>
    </row>
    <row r="11" spans="2:8" x14ac:dyDescent="0.3">
      <c r="B11" s="63">
        <v>2004</v>
      </c>
      <c r="C11" s="65">
        <v>0.10679999999999999</v>
      </c>
    </row>
    <row r="12" spans="2:8" x14ac:dyDescent="0.3">
      <c r="B12" s="63">
        <v>2005</v>
      </c>
      <c r="C12" s="65">
        <v>0.36340000000000006</v>
      </c>
    </row>
    <row r="13" spans="2:8" x14ac:dyDescent="0.3">
      <c r="B13" s="63">
        <v>2006</v>
      </c>
      <c r="C13" s="65">
        <v>0.39829999999999999</v>
      </c>
    </row>
    <row r="14" spans="2:8" x14ac:dyDescent="0.3">
      <c r="B14" s="63">
        <v>2007</v>
      </c>
      <c r="C14" s="65">
        <v>0.54770000000000008</v>
      </c>
    </row>
    <row r="15" spans="2:8" x14ac:dyDescent="0.3">
      <c r="B15" s="63">
        <v>2008</v>
      </c>
      <c r="C15" s="65">
        <v>-0.51790000000000003</v>
      </c>
    </row>
    <row r="16" spans="2:8" x14ac:dyDescent="0.3">
      <c r="B16" s="63">
        <v>2009</v>
      </c>
      <c r="C16" s="65">
        <v>0.75760000000000005</v>
      </c>
    </row>
    <row r="17" spans="2:3" x14ac:dyDescent="0.3">
      <c r="B17" s="63">
        <v>2010</v>
      </c>
      <c r="C17" s="65">
        <v>0.17949999999999999</v>
      </c>
    </row>
    <row r="18" spans="2:3" x14ac:dyDescent="0.3">
      <c r="B18" s="63">
        <v>2011</v>
      </c>
      <c r="C18" s="65">
        <v>-0.2462</v>
      </c>
    </row>
    <row r="19" spans="2:3" x14ac:dyDescent="0.3">
      <c r="B19" s="63">
        <v>2012</v>
      </c>
      <c r="C19" s="65">
        <v>0.27699999999999997</v>
      </c>
    </row>
    <row r="20" spans="2:3" x14ac:dyDescent="0.3">
      <c r="B20" s="63">
        <v>2013</v>
      </c>
      <c r="C20" s="65">
        <v>6.7599999999999993E-2</v>
      </c>
    </row>
    <row r="21" spans="2:3" x14ac:dyDescent="0.3">
      <c r="B21" s="63">
        <v>2014</v>
      </c>
      <c r="C21" s="65">
        <v>0.31390000000000001</v>
      </c>
    </row>
    <row r="22" spans="2:3" x14ac:dyDescent="0.3">
      <c r="B22" s="63">
        <v>2015</v>
      </c>
      <c r="C22" s="65">
        <v>-4.0599999999999997E-2</v>
      </c>
    </row>
    <row r="23" spans="2:3" x14ac:dyDescent="0.3">
      <c r="B23" s="63">
        <v>2016</v>
      </c>
      <c r="C23" s="65">
        <v>3.0099999999999998E-2</v>
      </c>
    </row>
    <row r="24" spans="2:3" x14ac:dyDescent="0.3">
      <c r="B24" s="63">
        <v>2017</v>
      </c>
      <c r="C24" s="65">
        <v>0.28649999999999998</v>
      </c>
    </row>
    <row r="25" spans="2:3" x14ac:dyDescent="0.3">
      <c r="B25" s="63">
        <v>2018</v>
      </c>
      <c r="C25" s="65">
        <v>3.15E-2</v>
      </c>
    </row>
    <row r="26" spans="2:3" x14ac:dyDescent="0.3">
      <c r="B26" s="63">
        <v>2019</v>
      </c>
      <c r="C26" s="65">
        <v>0.1202</v>
      </c>
    </row>
    <row r="27" spans="2:3" x14ac:dyDescent="0.3">
      <c r="B27" s="63">
        <v>2020</v>
      </c>
      <c r="C27" s="65">
        <v>0.14899999999999999</v>
      </c>
    </row>
    <row r="28" spans="2:3" x14ac:dyDescent="0.3">
      <c r="B28" s="63">
        <v>2021</v>
      </c>
      <c r="C28" s="65">
        <v>0.2412</v>
      </c>
    </row>
    <row r="29" spans="2:3" x14ac:dyDescent="0.3">
      <c r="B29" s="63">
        <v>2022</v>
      </c>
      <c r="C29" s="65">
        <v>4.3200000000000002E-2</v>
      </c>
    </row>
    <row r="30" spans="2:3" x14ac:dyDescent="0.3">
      <c r="B30" s="63">
        <v>2023</v>
      </c>
      <c r="C30" s="65">
        <v>0.19420000000000001</v>
      </c>
    </row>
    <row r="31" spans="2:3" x14ac:dyDescent="0.3">
      <c r="B31" s="63">
        <v>2024</v>
      </c>
    </row>
  </sheetData>
  <mergeCells count="1">
    <mergeCell ref="B2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L 0 9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y L 0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9 P V k o i k e 4 D g A A A B E A A A A T A B w A R m 9 y b X V s Y X M v U 2 V j d G l v b j E u b S C i G A A o o B Q A A A A A A A A A A A A A A A A A A A A A A A A A A A A r T k 0 u y c z P U w i G 0 I b W A F B L A Q I t A B Q A A g A I A M i 9 P V m 7 Z 9 K P p A A A A P Y A A A A S A A A A A A A A A A A A A A A A A A A A A A B D b 2 5 m a W c v U G F j a 2 F n Z S 5 4 b W x Q S w E C L Q A U A A I A C A D I v T 1 Z D 8 r p q 6 Q A A A D p A A A A E w A A A A A A A A A A A A A A A A D w A A A A W 0 N v b n R l b n R f V H l w Z X N d L n h t b F B L A Q I t A B Q A A g A I A M i 9 P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8 8 V g C T l n Q L h T P t L x c Q W B A A A A A A I A A A A A A B B m A A A A A Q A A I A A A A I X E g 3 u + h 6 X 0 9 A d b p s w X / / y 3 C W 0 v h w h 1 I E k w 1 j g G z K 1 Q A A A A A A 6 A A A A A A g A A I A A A A E m 1 D + Q f J t Q e H K G X i 2 l R S P m U A b r + V t h l H / 3 X P r W Z l F u 8 U A A A A D H Z r 0 v l + p 6 N w N 6 i i i R O A q E A 0 g Z e E 7 x 6 o D s D v P J k J K t a 1 V c i V i x c o 2 o M a 7 Z M t F e c W A 8 U K 4 I r 0 g g 4 z J K P G v F L y z Z 3 4 H a e f h V 0 y Z 9 V Y s R n I S 9 h Q A A A A J x Z e U 2 I x y c W X b G y D n d y h / / 5 6 z L z 1 x U f B T R 6 6 b H d H M c H o 0 a D 3 l q u c T H M c w V K y s B x E O A 7 5 f Y T E a F Z p Q K g W 8 V c Q d Q = < / D a t a M a s h u p > 
</file>

<file path=customXml/itemProps1.xml><?xml version="1.0" encoding="utf-8"?>
<ds:datastoreItem xmlns:ds="http://schemas.openxmlformats.org/officeDocument/2006/customXml" ds:itemID="{26DBB727-CE22-46D1-BF70-90016505AC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Actual</vt:lpstr>
      <vt:lpstr>Sheet1</vt:lpstr>
      <vt:lpstr>Practise</vt:lpstr>
      <vt:lpstr>Vedant Fashion</vt:lpstr>
      <vt:lpstr>Aditya birla</vt:lpstr>
      <vt:lpstr>Metro Brands</vt:lpstr>
      <vt:lpstr>Return On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Agarwal</dc:creator>
  <cp:lastModifiedBy>Gaurav Agarwal</cp:lastModifiedBy>
  <dcterms:created xsi:type="dcterms:W3CDTF">2024-09-26T16:28:48Z</dcterms:created>
  <dcterms:modified xsi:type="dcterms:W3CDTF">2025-04-03T19:58:00Z</dcterms:modified>
</cp:coreProperties>
</file>